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indst\BPEiC\"/>
    </mc:Choice>
  </mc:AlternateContent>
  <bookViews>
    <workbookView xWindow="0" yWindow="0" windowWidth="15300" windowHeight="6420" firstSheet="16" activeTab="20"/>
  </bookViews>
  <sheets>
    <sheet name="About" sheetId="44" r:id="rId1"/>
    <sheet name="Cross-Page Data" sheetId="35" r:id="rId2"/>
    <sheet name="Non-Energy FF CO2 Emissions" sheetId="2" r:id="rId3"/>
    <sheet name="Cement CO2 Emissions" sheetId="1" r:id="rId4"/>
    <sheet name="Iron and Steel" sheetId="13" r:id="rId5"/>
    <sheet name="Coal Mining" sheetId="6" r:id="rId6"/>
    <sheet name="Petroleum Systems" sheetId="11" r:id="rId7"/>
    <sheet name="Natural Gas Systems" sheetId="8" r:id="rId8"/>
    <sheet name="Chem - HCFC 22 Production" sheetId="16" r:id="rId9"/>
    <sheet name="Chem - ODS" sheetId="17" r:id="rId10"/>
    <sheet name="Other - Aluminum" sheetId="23" r:id="rId11"/>
    <sheet name="Other - Magnesium" sheetId="24" r:id="rId12"/>
    <sheet name="Other - Semiconductor Mfg" sheetId="25" r:id="rId13"/>
    <sheet name="Other - Elec Trans and Dist" sheetId="26" r:id="rId14"/>
    <sheet name="Agriculture - EF &amp; Manure Mgmt" sheetId="18" r:id="rId15"/>
    <sheet name="Agriculture - Rice Cultivation" sheetId="19" r:id="rId16"/>
    <sheet name="Agriculture - Soil Mgmt" sheetId="20" r:id="rId17"/>
    <sheet name="Waste - Landfills" sheetId="27" r:id="rId18"/>
    <sheet name="Waste - Water Treatment" sheetId="28" r:id="rId19"/>
    <sheet name="Other Industrial Processes" sheetId="43" r:id="rId20"/>
    <sheet name="Combined Data" sheetId="30" r:id="rId21"/>
    <sheet name="BPEiC-CO2" sheetId="31" r:id="rId22"/>
    <sheet name="BPEiC-CH4" sheetId="32" r:id="rId23"/>
    <sheet name="BPEiC-N2O" sheetId="33" r:id="rId24"/>
    <sheet name="BPEiC-F-gases" sheetId="34" r:id="rId25"/>
    <sheet name="EPA (2017) Table A3.6-1" sheetId="40" r:id="rId26"/>
    <sheet name="EPA (2017) Table A3.6-7" sheetId="42" r:id="rId27"/>
    <sheet name="EPA (2017) Table A3.6-10" sheetId="45" r:id="rId28"/>
    <sheet name="AEO 2018_Table 6" sheetId="3" r:id="rId29"/>
    <sheet name="AEO 2018_Table 11" sheetId="12" r:id="rId30"/>
    <sheet name="AEO 2018_Table 13" sheetId="39" r:id="rId31"/>
    <sheet name="AEO 2018_Table 67" sheetId="7" r:id="rId32"/>
    <sheet name="AEO 2018_Table 19" sheetId="37" r:id="rId33"/>
    <sheet name="AEO 2018_Table 20" sheetId="21" r:id="rId34"/>
    <sheet name="AEO 2018_Table 24" sheetId="14" r:id="rId35"/>
    <sheet name="AEO 2018_Table 62" sheetId="41" r:id="rId36"/>
  </sheets>
  <definedNames>
    <definedName name="_xlnm._FilterDatabase" localSheetId="9" hidden="1">'Chem - ODS'!#REF!</definedName>
    <definedName name="CH4_to_CO2e">'Cross-Page Data'!$C$12</definedName>
    <definedName name="N2O_to_CO2e">'Cross-Page Data'!$C$13</definedName>
  </definedNames>
  <calcPr calcId="162913"/>
  <pivotCaches>
    <pivotCache cacheId="22" r:id="rId3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0" i="8" l="1"/>
  <c r="F200" i="8"/>
  <c r="G200" i="8" s="1"/>
  <c r="H200" i="8" s="1"/>
  <c r="I200" i="8" s="1"/>
  <c r="J200" i="8" s="1"/>
  <c r="K200" i="8" s="1"/>
  <c r="L200" i="8" s="1"/>
  <c r="M200" i="8" s="1"/>
  <c r="N200" i="8" s="1"/>
  <c r="O200" i="8" s="1"/>
  <c r="P200" i="8" s="1"/>
  <c r="Q200" i="8" s="1"/>
  <c r="R200" i="8" s="1"/>
  <c r="S200" i="8" s="1"/>
  <c r="T200" i="8" s="1"/>
  <c r="U200" i="8" s="1"/>
  <c r="V200" i="8" s="1"/>
  <c r="W200" i="8" s="1"/>
  <c r="X200" i="8" s="1"/>
  <c r="Y200" i="8" s="1"/>
  <c r="Z200" i="8" s="1"/>
  <c r="AA200" i="8" s="1"/>
  <c r="AB200" i="8" s="1"/>
  <c r="AC200" i="8" s="1"/>
  <c r="AD200" i="8" s="1"/>
  <c r="AE200" i="8" s="1"/>
  <c r="AF200" i="8" s="1"/>
  <c r="AG200" i="8" s="1"/>
  <c r="AH200" i="8" s="1"/>
  <c r="AI200" i="8" s="1"/>
  <c r="AJ200" i="8" s="1"/>
  <c r="AK200" i="8" s="1"/>
  <c r="D200" i="8"/>
  <c r="C200" i="8"/>
  <c r="L11" i="30" l="1"/>
  <c r="M11" i="30"/>
  <c r="N11" i="30"/>
  <c r="O11" i="30"/>
  <c r="P11" i="30"/>
  <c r="Q11" i="30"/>
  <c r="R11" i="30"/>
  <c r="S11" i="30"/>
  <c r="T11" i="30"/>
  <c r="U11" i="30"/>
  <c r="V11" i="30"/>
  <c r="W11" i="30"/>
  <c r="X11" i="30"/>
  <c r="Y11" i="30"/>
  <c r="Z11" i="30"/>
  <c r="AA11" i="30"/>
  <c r="AB11" i="30"/>
  <c r="AC11" i="30"/>
  <c r="AD11" i="30"/>
  <c r="AE11" i="30"/>
  <c r="AF11" i="30"/>
  <c r="AG11" i="30"/>
  <c r="AH11" i="30"/>
  <c r="AI11" i="30"/>
  <c r="AJ11" i="30"/>
  <c r="L12" i="30"/>
  <c r="M12" i="30"/>
  <c r="N12" i="30"/>
  <c r="O12" i="30"/>
  <c r="P12" i="30"/>
  <c r="Q12" i="30"/>
  <c r="R12" i="30"/>
  <c r="S12" i="30"/>
  <c r="T12" i="30"/>
  <c r="U12" i="30"/>
  <c r="V12" i="30"/>
  <c r="W12" i="30"/>
  <c r="X12" i="30"/>
  <c r="Y12" i="30"/>
  <c r="Z12" i="30"/>
  <c r="AA12" i="30"/>
  <c r="AB12" i="30"/>
  <c r="AC12" i="30"/>
  <c r="AD12" i="30"/>
  <c r="AE12" i="30"/>
  <c r="AF12" i="30"/>
  <c r="AG12" i="30"/>
  <c r="AH12" i="30"/>
  <c r="AI12" i="30"/>
  <c r="AJ12" i="30"/>
  <c r="P2" i="43"/>
  <c r="Q2" i="43" s="1"/>
  <c r="R2" i="43" s="1"/>
  <c r="S2" i="43"/>
  <c r="T2" i="43" s="1"/>
  <c r="U2" i="43" s="1"/>
  <c r="V2" i="43" s="1"/>
  <c r="W2" i="43" s="1"/>
  <c r="X2" i="43" s="1"/>
  <c r="Y2" i="43" s="1"/>
  <c r="Z2" i="43" s="1"/>
  <c r="AA2" i="43"/>
  <c r="AB2" i="43" s="1"/>
  <c r="AC2" i="43" s="1"/>
  <c r="AD2" i="43" s="1"/>
  <c r="AE2" i="43" s="1"/>
  <c r="AF2" i="43" s="1"/>
  <c r="AG2" i="43" s="1"/>
  <c r="AH2" i="43" s="1"/>
  <c r="AI2" i="43" s="1"/>
  <c r="AJ2" i="43" s="1"/>
  <c r="AK2" i="43" s="1"/>
  <c r="AL2" i="43" s="1"/>
  <c r="AM2" i="43" s="1"/>
  <c r="AN2" i="43" s="1"/>
  <c r="AO2" i="43" s="1"/>
  <c r="AP2" i="43" s="1"/>
  <c r="AQ2" i="43"/>
  <c r="AR2" i="43" s="1"/>
  <c r="AS2" i="43" s="1"/>
  <c r="AT2" i="43" s="1"/>
  <c r="AU2" i="43" s="1"/>
  <c r="AV2" i="43" s="1"/>
  <c r="P3" i="43"/>
  <c r="Q3" i="43" s="1"/>
  <c r="R3" i="43" s="1"/>
  <c r="S3" i="43" s="1"/>
  <c r="T3" i="43" s="1"/>
  <c r="U3" i="43" s="1"/>
  <c r="V3" i="43"/>
  <c r="W3" i="43" s="1"/>
  <c r="X3" i="43" s="1"/>
  <c r="Y3" i="43" s="1"/>
  <c r="Z3" i="43" s="1"/>
  <c r="AA3" i="43" s="1"/>
  <c r="AB3" i="43" s="1"/>
  <c r="AC3" i="43" s="1"/>
  <c r="AD3" i="43" s="1"/>
  <c r="AE3" i="43" s="1"/>
  <c r="AF3" i="43" s="1"/>
  <c r="AG3" i="43" s="1"/>
  <c r="AH3" i="43" s="1"/>
  <c r="AI3" i="43" s="1"/>
  <c r="AJ3" i="43" s="1"/>
  <c r="AK3" i="43" s="1"/>
  <c r="AL3" i="43"/>
  <c r="AM3" i="43" s="1"/>
  <c r="AN3" i="43" s="1"/>
  <c r="AO3" i="43" s="1"/>
  <c r="AP3" i="43" s="1"/>
  <c r="AQ3" i="43" s="1"/>
  <c r="AR3" i="43" s="1"/>
  <c r="AS3" i="43" s="1"/>
  <c r="AT3" i="43" s="1"/>
  <c r="AU3" i="43" s="1"/>
  <c r="AV3" i="43" s="1"/>
  <c r="P4" i="43"/>
  <c r="Q4" i="43"/>
  <c r="R4" i="43"/>
  <c r="S4" i="43"/>
  <c r="T4" i="43"/>
  <c r="U4" i="43"/>
  <c r="V4" i="43"/>
  <c r="W4" i="43"/>
  <c r="X4" i="43"/>
  <c r="Y4" i="43"/>
  <c r="Z4" i="43"/>
  <c r="AA4" i="43"/>
  <c r="AB4" i="43"/>
  <c r="AC4" i="43"/>
  <c r="AD4" i="43"/>
  <c r="AE4" i="43"/>
  <c r="AF4" i="43"/>
  <c r="AG4" i="43"/>
  <c r="AH4" i="43"/>
  <c r="AI4" i="43"/>
  <c r="AJ4" i="43"/>
  <c r="AK4" i="43"/>
  <c r="AL4" i="43"/>
  <c r="AM4" i="43"/>
  <c r="AN4" i="43"/>
  <c r="AO4" i="43"/>
  <c r="AP4" i="43"/>
  <c r="AQ4" i="43"/>
  <c r="AR4" i="43"/>
  <c r="AS4" i="43"/>
  <c r="AT4" i="43"/>
  <c r="AU4" i="43"/>
  <c r="AV4" i="43"/>
  <c r="P5" i="43"/>
  <c r="Q5" i="43" s="1"/>
  <c r="R5" i="43" s="1"/>
  <c r="S5" i="43" s="1"/>
  <c r="T5" i="43" s="1"/>
  <c r="U5" i="43" s="1"/>
  <c r="V5" i="43" s="1"/>
  <c r="W5" i="43" s="1"/>
  <c r="X5" i="43" s="1"/>
  <c r="Y5" i="43" s="1"/>
  <c r="Z5" i="43" s="1"/>
  <c r="AA5" i="43" s="1"/>
  <c r="AB5" i="43" s="1"/>
  <c r="AC5" i="43" s="1"/>
  <c r="AD5" i="43" s="1"/>
  <c r="AE5" i="43" s="1"/>
  <c r="AF5" i="43" s="1"/>
  <c r="AG5" i="43" s="1"/>
  <c r="AH5" i="43" s="1"/>
  <c r="AI5" i="43" s="1"/>
  <c r="AJ5" i="43" s="1"/>
  <c r="AK5" i="43" s="1"/>
  <c r="AL5" i="43" s="1"/>
  <c r="AM5" i="43" s="1"/>
  <c r="AN5" i="43" s="1"/>
  <c r="AO5" i="43" s="1"/>
  <c r="AP5" i="43" s="1"/>
  <c r="AQ5" i="43" s="1"/>
  <c r="AR5" i="43" s="1"/>
  <c r="AS5" i="43" s="1"/>
  <c r="AT5" i="43" s="1"/>
  <c r="AU5" i="43" s="1"/>
  <c r="AV5" i="43" s="1"/>
  <c r="P6" i="43"/>
  <c r="Q6" i="43"/>
  <c r="R6" i="43"/>
  <c r="S6" i="43"/>
  <c r="T6" i="43"/>
  <c r="U6" i="43"/>
  <c r="V6" i="43"/>
  <c r="W6" i="43"/>
  <c r="X6" i="43"/>
  <c r="Y6" i="43"/>
  <c r="Z6" i="43"/>
  <c r="AA6" i="43"/>
  <c r="AB6" i="43"/>
  <c r="AC6" i="43"/>
  <c r="AD6" i="43"/>
  <c r="AE6" i="43"/>
  <c r="AF6" i="43"/>
  <c r="AG6" i="43"/>
  <c r="AH6" i="43"/>
  <c r="AI6" i="43"/>
  <c r="AJ6" i="43"/>
  <c r="AK6" i="43"/>
  <c r="AL6" i="43"/>
  <c r="AM6" i="43"/>
  <c r="AN6" i="43"/>
  <c r="AO6" i="43"/>
  <c r="AP6" i="43"/>
  <c r="AQ6" i="43"/>
  <c r="AR6" i="43"/>
  <c r="AS6" i="43"/>
  <c r="AT6" i="43"/>
  <c r="AU6" i="43"/>
  <c r="AV6" i="43"/>
  <c r="P7" i="43"/>
  <c r="Q7" i="43" s="1"/>
  <c r="R7" i="43" s="1"/>
  <c r="S7" i="43" s="1"/>
  <c r="T7" i="43" s="1"/>
  <c r="U7" i="43" s="1"/>
  <c r="V7" i="43" s="1"/>
  <c r="W7" i="43" s="1"/>
  <c r="X7" i="43" s="1"/>
  <c r="Y7" i="43" s="1"/>
  <c r="Z7" i="43" s="1"/>
  <c r="AA7" i="43" s="1"/>
  <c r="AB7" i="43" s="1"/>
  <c r="AC7" i="43" s="1"/>
  <c r="AD7" i="43" s="1"/>
  <c r="AE7" i="43" s="1"/>
  <c r="AF7" i="43" s="1"/>
  <c r="AG7" i="43" s="1"/>
  <c r="AH7" i="43" s="1"/>
  <c r="AI7" i="43" s="1"/>
  <c r="AJ7" i="43" s="1"/>
  <c r="AK7" i="43" s="1"/>
  <c r="AL7" i="43" s="1"/>
  <c r="AM7" i="43" s="1"/>
  <c r="AN7" i="43" s="1"/>
  <c r="AO7" i="43" s="1"/>
  <c r="AP7" i="43" s="1"/>
  <c r="AQ7" i="43" s="1"/>
  <c r="AR7" i="43" s="1"/>
  <c r="AS7" i="43" s="1"/>
  <c r="AT7" i="43" s="1"/>
  <c r="AU7" i="43" s="1"/>
  <c r="AV7" i="43" s="1"/>
  <c r="P8" i="43"/>
  <c r="Q8" i="43"/>
  <c r="R8" i="43" s="1"/>
  <c r="S8" i="43" s="1"/>
  <c r="T8" i="43" s="1"/>
  <c r="U8" i="43" s="1"/>
  <c r="V8" i="43" s="1"/>
  <c r="W8" i="43" s="1"/>
  <c r="X8" i="43" s="1"/>
  <c r="Y8" i="43" s="1"/>
  <c r="Z8" i="43" s="1"/>
  <c r="AA8" i="43" s="1"/>
  <c r="AB8" i="43" s="1"/>
  <c r="AC8" i="43" s="1"/>
  <c r="AD8" i="43" s="1"/>
  <c r="AE8" i="43" s="1"/>
  <c r="AF8" i="43" s="1"/>
  <c r="AG8" i="43" s="1"/>
  <c r="AH8" i="43" s="1"/>
  <c r="AI8" i="43" s="1"/>
  <c r="AJ8" i="43" s="1"/>
  <c r="AK8" i="43" s="1"/>
  <c r="AL8" i="43" s="1"/>
  <c r="AM8" i="43" s="1"/>
  <c r="AN8" i="43" s="1"/>
  <c r="AO8" i="43" s="1"/>
  <c r="AP8" i="43" s="1"/>
  <c r="AQ8" i="43" s="1"/>
  <c r="AR8" i="43" s="1"/>
  <c r="AS8" i="43" s="1"/>
  <c r="AT8" i="43" s="1"/>
  <c r="AU8" i="43" s="1"/>
  <c r="AV8" i="43" s="1"/>
  <c r="P9" i="43"/>
  <c r="Q9" i="43" s="1"/>
  <c r="R9" i="43" s="1"/>
  <c r="S9" i="43" s="1"/>
  <c r="T9" i="43" s="1"/>
  <c r="U9" i="43" s="1"/>
  <c r="V9" i="43" s="1"/>
  <c r="W9" i="43" s="1"/>
  <c r="X9" i="43" s="1"/>
  <c r="Y9" i="43" s="1"/>
  <c r="Z9" i="43" s="1"/>
  <c r="AA9" i="43" s="1"/>
  <c r="AB9" i="43" s="1"/>
  <c r="AC9" i="43" s="1"/>
  <c r="AD9" i="43" s="1"/>
  <c r="AE9" i="43" s="1"/>
  <c r="AF9" i="43" s="1"/>
  <c r="AG9" i="43" s="1"/>
  <c r="AH9" i="43" s="1"/>
  <c r="AI9" i="43" s="1"/>
  <c r="AJ9" i="43" s="1"/>
  <c r="AK9" i="43" s="1"/>
  <c r="AL9" i="43" s="1"/>
  <c r="AM9" i="43" s="1"/>
  <c r="AN9" i="43" s="1"/>
  <c r="AO9" i="43" s="1"/>
  <c r="AP9" i="43" s="1"/>
  <c r="AQ9" i="43" s="1"/>
  <c r="AR9" i="43" s="1"/>
  <c r="AS9" i="43" s="1"/>
  <c r="AT9" i="43" s="1"/>
  <c r="AU9" i="43" s="1"/>
  <c r="AV9" i="43" s="1"/>
  <c r="P10" i="43"/>
  <c r="Q10" i="43"/>
  <c r="R10" i="43"/>
  <c r="S10" i="43"/>
  <c r="T10" i="43"/>
  <c r="U10" i="43"/>
  <c r="V10" i="43"/>
  <c r="W10" i="43"/>
  <c r="X10" i="43"/>
  <c r="Y10" i="43"/>
  <c r="Z10" i="43"/>
  <c r="AA10" i="43"/>
  <c r="AB10" i="43"/>
  <c r="AC10" i="43"/>
  <c r="AD10" i="43"/>
  <c r="AE10" i="43"/>
  <c r="AF10" i="43"/>
  <c r="AG10" i="43"/>
  <c r="AH10" i="43"/>
  <c r="AI10" i="43"/>
  <c r="AJ10" i="43"/>
  <c r="AK10" i="43"/>
  <c r="AL10" i="43"/>
  <c r="AM10" i="43"/>
  <c r="AN10" i="43"/>
  <c r="AO10" i="43"/>
  <c r="AP10" i="43"/>
  <c r="AQ10" i="43"/>
  <c r="AR10" i="43"/>
  <c r="AS10" i="43"/>
  <c r="AT10" i="43"/>
  <c r="AU10" i="43"/>
  <c r="AV10" i="43"/>
  <c r="P11" i="43"/>
  <c r="Q11" i="43" s="1"/>
  <c r="R11" i="43" s="1"/>
  <c r="S11" i="43" s="1"/>
  <c r="T11" i="43" s="1"/>
  <c r="U11" i="43" s="1"/>
  <c r="V11" i="43" s="1"/>
  <c r="W11" i="43" s="1"/>
  <c r="X11" i="43" s="1"/>
  <c r="Y11" i="43" s="1"/>
  <c r="Z11" i="43" s="1"/>
  <c r="AA11" i="43" s="1"/>
  <c r="AB11" i="43" s="1"/>
  <c r="AC11" i="43" s="1"/>
  <c r="AD11" i="43" s="1"/>
  <c r="AE11" i="43" s="1"/>
  <c r="AF11" i="43" s="1"/>
  <c r="AG11" i="43" s="1"/>
  <c r="AH11" i="43" s="1"/>
  <c r="AI11" i="43" s="1"/>
  <c r="AJ11" i="43" s="1"/>
  <c r="AK11" i="43" s="1"/>
  <c r="AL11" i="43" s="1"/>
  <c r="AM11" i="43" s="1"/>
  <c r="AN11" i="43" s="1"/>
  <c r="AO11" i="43" s="1"/>
  <c r="AP11" i="43" s="1"/>
  <c r="AQ11" i="43" s="1"/>
  <c r="AR11" i="43" s="1"/>
  <c r="AS11" i="43" s="1"/>
  <c r="AT11" i="43" s="1"/>
  <c r="AU11" i="43" s="1"/>
  <c r="AV11" i="43" s="1"/>
  <c r="P12" i="43"/>
  <c r="Q12" i="43"/>
  <c r="R12" i="43" s="1"/>
  <c r="S12" i="43" s="1"/>
  <c r="T12" i="43" s="1"/>
  <c r="U12" i="43" s="1"/>
  <c r="V12" i="43" s="1"/>
  <c r="W12" i="43" s="1"/>
  <c r="X12" i="43" s="1"/>
  <c r="Y12" i="43" s="1"/>
  <c r="Z12" i="43" s="1"/>
  <c r="AA12" i="43" s="1"/>
  <c r="AB12" i="43" s="1"/>
  <c r="AC12" i="43" s="1"/>
  <c r="AD12" i="43" s="1"/>
  <c r="AE12" i="43" s="1"/>
  <c r="AF12" i="43" s="1"/>
  <c r="AG12" i="43"/>
  <c r="AH12" i="43" s="1"/>
  <c r="AI12" i="43" s="1"/>
  <c r="AJ12" i="43" s="1"/>
  <c r="AK12" i="43" s="1"/>
  <c r="AL12" i="43" s="1"/>
  <c r="AM12" i="43" s="1"/>
  <c r="AN12" i="43" s="1"/>
  <c r="AO12" i="43" s="1"/>
  <c r="AP12" i="43" s="1"/>
  <c r="AQ12" i="43" s="1"/>
  <c r="AR12" i="43" s="1"/>
  <c r="AS12" i="43" s="1"/>
  <c r="AT12" i="43" s="1"/>
  <c r="AU12" i="43" s="1"/>
  <c r="AV12" i="43" s="1"/>
  <c r="P13" i="43"/>
  <c r="Q13" i="43"/>
  <c r="R13" i="43"/>
  <c r="S13" i="43"/>
  <c r="T13" i="43"/>
  <c r="U13" i="43"/>
  <c r="V13" i="43"/>
  <c r="W13" i="43"/>
  <c r="X13" i="43"/>
  <c r="Y13" i="43"/>
  <c r="Z13" i="43"/>
  <c r="AA13" i="43"/>
  <c r="AB13" i="43"/>
  <c r="AC13" i="43"/>
  <c r="AD13" i="43"/>
  <c r="AE13" i="43"/>
  <c r="AF13" i="43"/>
  <c r="AG13" i="43"/>
  <c r="AH13" i="43"/>
  <c r="AI13" i="43"/>
  <c r="AJ13" i="43"/>
  <c r="AK13" i="43"/>
  <c r="AL13" i="43"/>
  <c r="AM13" i="43"/>
  <c r="AN13" i="43"/>
  <c r="AO13" i="43"/>
  <c r="AP13" i="43"/>
  <c r="AQ13" i="43"/>
  <c r="AR13" i="43"/>
  <c r="AS13" i="43"/>
  <c r="AT13" i="43"/>
  <c r="AU13" i="43"/>
  <c r="AV13" i="43"/>
  <c r="P14" i="43"/>
  <c r="Q14" i="43"/>
  <c r="R14" i="43"/>
  <c r="S14" i="43"/>
  <c r="T14" i="43"/>
  <c r="U14" i="43"/>
  <c r="V14" i="43"/>
  <c r="W14" i="43"/>
  <c r="X14" i="43"/>
  <c r="Y14" i="43"/>
  <c r="Z14" i="43"/>
  <c r="AA14" i="43"/>
  <c r="AB14" i="43"/>
  <c r="AC14" i="43"/>
  <c r="AD14" i="43"/>
  <c r="AE14" i="43"/>
  <c r="AF14" i="43"/>
  <c r="AG14" i="43"/>
  <c r="AH14" i="43"/>
  <c r="AI14" i="43"/>
  <c r="AJ14" i="43"/>
  <c r="AK14" i="43"/>
  <c r="AL14" i="43"/>
  <c r="AM14" i="43"/>
  <c r="AN14" i="43"/>
  <c r="AO14" i="43"/>
  <c r="AP14" i="43"/>
  <c r="AQ14" i="43"/>
  <c r="AR14" i="43"/>
  <c r="AS14" i="43"/>
  <c r="AT14" i="43"/>
  <c r="AU14" i="43"/>
  <c r="AV14" i="43"/>
  <c r="P15" i="43"/>
  <c r="Q15" i="43"/>
  <c r="R15" i="43"/>
  <c r="S15" i="43"/>
  <c r="T15" i="43"/>
  <c r="U15" i="43"/>
  <c r="V15" i="43"/>
  <c r="W15" i="43"/>
  <c r="X15" i="43"/>
  <c r="Y15" i="43"/>
  <c r="Z15" i="43"/>
  <c r="AA15" i="43"/>
  <c r="AB15" i="43"/>
  <c r="AC15" i="43"/>
  <c r="AD15" i="43"/>
  <c r="AE15" i="43"/>
  <c r="AF15" i="43"/>
  <c r="AG15" i="43"/>
  <c r="AH15" i="43"/>
  <c r="AI15" i="43"/>
  <c r="AJ15" i="43"/>
  <c r="AK15" i="43"/>
  <c r="AL15" i="43"/>
  <c r="AM15" i="43"/>
  <c r="AN15" i="43"/>
  <c r="AO15" i="43"/>
  <c r="AP15" i="43"/>
  <c r="AQ15" i="43"/>
  <c r="AR15" i="43"/>
  <c r="AS15" i="43"/>
  <c r="AT15" i="43"/>
  <c r="AU15" i="43"/>
  <c r="AV15" i="43"/>
  <c r="P16" i="43"/>
  <c r="Q16" i="43"/>
  <c r="R16" i="43"/>
  <c r="S16" i="43"/>
  <c r="T16" i="43"/>
  <c r="U16" i="43"/>
  <c r="V16" i="43"/>
  <c r="W16" i="43"/>
  <c r="X16" i="43"/>
  <c r="Y16" i="43"/>
  <c r="Z16" i="43"/>
  <c r="AA16" i="43"/>
  <c r="AB16" i="43"/>
  <c r="AC16" i="43"/>
  <c r="AD16" i="43"/>
  <c r="AE16" i="43"/>
  <c r="AF16" i="43"/>
  <c r="AG16" i="43"/>
  <c r="AH16" i="43"/>
  <c r="AI16" i="43"/>
  <c r="AJ16" i="43"/>
  <c r="AK16" i="43"/>
  <c r="AL16" i="43"/>
  <c r="AM16" i="43"/>
  <c r="AN16" i="43"/>
  <c r="AO16" i="43"/>
  <c r="AP16" i="43"/>
  <c r="AQ16" i="43"/>
  <c r="AR16" i="43"/>
  <c r="AS16" i="43"/>
  <c r="AT16" i="43"/>
  <c r="AU16" i="43"/>
  <c r="AV16" i="43"/>
  <c r="P17" i="43"/>
  <c r="Q17" i="43" s="1"/>
  <c r="R17" i="43" s="1"/>
  <c r="S17" i="43" s="1"/>
  <c r="T17" i="43" s="1"/>
  <c r="U17" i="43" s="1"/>
  <c r="V17" i="43" s="1"/>
  <c r="W17" i="43" s="1"/>
  <c r="X17" i="43" s="1"/>
  <c r="Y17" i="43" s="1"/>
  <c r="Z17" i="43" s="1"/>
  <c r="AA17" i="43" s="1"/>
  <c r="AB17" i="43" s="1"/>
  <c r="AC17" i="43" s="1"/>
  <c r="AD17" i="43" s="1"/>
  <c r="AE17" i="43" s="1"/>
  <c r="AF17" i="43" s="1"/>
  <c r="AG17" i="43" s="1"/>
  <c r="AH17" i="43" s="1"/>
  <c r="AI17" i="43" s="1"/>
  <c r="AJ17" i="43" s="1"/>
  <c r="AK17" i="43" s="1"/>
  <c r="AL17" i="43" s="1"/>
  <c r="AM17" i="43" s="1"/>
  <c r="AN17" i="43" s="1"/>
  <c r="AO17" i="43" s="1"/>
  <c r="AP17" i="43" s="1"/>
  <c r="AQ17" i="43" s="1"/>
  <c r="AR17" i="43" s="1"/>
  <c r="AS17" i="43" s="1"/>
  <c r="AT17" i="43" s="1"/>
  <c r="AU17" i="43" s="1"/>
  <c r="AV17" i="43" s="1"/>
  <c r="P18" i="43"/>
  <c r="Q18" i="43" s="1"/>
  <c r="R18" i="43" s="1"/>
  <c r="S18" i="43"/>
  <c r="T18" i="43" s="1"/>
  <c r="U18" i="43" s="1"/>
  <c r="V18" i="43" s="1"/>
  <c r="W18" i="43" s="1"/>
  <c r="X18" i="43" s="1"/>
  <c r="Y18" i="43" s="1"/>
  <c r="Z18" i="43" s="1"/>
  <c r="AA18" i="43" s="1"/>
  <c r="AB18" i="43" s="1"/>
  <c r="AC18" i="43" s="1"/>
  <c r="AD18" i="43" s="1"/>
  <c r="AE18" i="43" s="1"/>
  <c r="AF18" i="43" s="1"/>
  <c r="AG18" i="43" s="1"/>
  <c r="AH18" i="43" s="1"/>
  <c r="AI18" i="43" s="1"/>
  <c r="AJ18" i="43" s="1"/>
  <c r="AK18" i="43" s="1"/>
  <c r="AL18" i="43" s="1"/>
  <c r="AM18" i="43" s="1"/>
  <c r="AN18" i="43" s="1"/>
  <c r="AO18" i="43" s="1"/>
  <c r="AP18" i="43" s="1"/>
  <c r="AQ18" i="43"/>
  <c r="AR18" i="43" s="1"/>
  <c r="AS18" i="43" s="1"/>
  <c r="AT18" i="43" s="1"/>
  <c r="AU18" i="43" s="1"/>
  <c r="AV18" i="43" s="1"/>
  <c r="P19" i="43"/>
  <c r="Q19" i="43" s="1"/>
  <c r="R19" i="43" s="1"/>
  <c r="S19" i="43" s="1"/>
  <c r="T19" i="43" s="1"/>
  <c r="U19" i="43" s="1"/>
  <c r="V19" i="43" s="1"/>
  <c r="W19" i="43" s="1"/>
  <c r="X19" i="43" s="1"/>
  <c r="Y19" i="43" s="1"/>
  <c r="Z19" i="43" s="1"/>
  <c r="AA19" i="43" s="1"/>
  <c r="AB19" i="43" s="1"/>
  <c r="AC19" i="43" s="1"/>
  <c r="AD19" i="43" s="1"/>
  <c r="AE19" i="43" s="1"/>
  <c r="AF19" i="43" s="1"/>
  <c r="AG19" i="43" s="1"/>
  <c r="AH19" i="43" s="1"/>
  <c r="AI19" i="43" s="1"/>
  <c r="AJ19" i="43" s="1"/>
  <c r="AK19" i="43" s="1"/>
  <c r="AL19" i="43" s="1"/>
  <c r="AM19" i="43" s="1"/>
  <c r="AN19" i="43" s="1"/>
  <c r="AO19" i="43" s="1"/>
  <c r="AP19" i="43"/>
  <c r="AQ19" i="43" s="1"/>
  <c r="AR19" i="43" s="1"/>
  <c r="AS19" i="43" s="1"/>
  <c r="AT19" i="43" s="1"/>
  <c r="AU19" i="43" s="1"/>
  <c r="AV19" i="43" s="1"/>
  <c r="P20" i="43"/>
  <c r="Q20" i="43"/>
  <c r="R20" i="43" s="1"/>
  <c r="S20" i="43" s="1"/>
  <c r="T20" i="43" s="1"/>
  <c r="U20" i="43" s="1"/>
  <c r="V20" i="43" s="1"/>
  <c r="W20" i="43" s="1"/>
  <c r="X20" i="43" s="1"/>
  <c r="Y20" i="43" s="1"/>
  <c r="Z20" i="43" s="1"/>
  <c r="AA20" i="43" s="1"/>
  <c r="AB20" i="43" s="1"/>
  <c r="AC20" i="43" s="1"/>
  <c r="AD20" i="43" s="1"/>
  <c r="AE20" i="43" s="1"/>
  <c r="AF20" i="43" s="1"/>
  <c r="AG20" i="43" s="1"/>
  <c r="AH20" i="43" s="1"/>
  <c r="AI20" i="43" s="1"/>
  <c r="AJ20" i="43" s="1"/>
  <c r="AK20" i="43" s="1"/>
  <c r="AL20" i="43" s="1"/>
  <c r="AM20" i="43" s="1"/>
  <c r="AN20" i="43" s="1"/>
  <c r="AO20" i="43" s="1"/>
  <c r="AP20" i="43" s="1"/>
  <c r="AQ20" i="43" s="1"/>
  <c r="AR20" i="43" s="1"/>
  <c r="AS20" i="43" s="1"/>
  <c r="AT20" i="43" s="1"/>
  <c r="AU20" i="43" s="1"/>
  <c r="AV20" i="43" s="1"/>
  <c r="P21" i="43"/>
  <c r="Q21" i="43" s="1"/>
  <c r="R21" i="43" s="1"/>
  <c r="S21" i="43" s="1"/>
  <c r="T21" i="43" s="1"/>
  <c r="U21" i="43" s="1"/>
  <c r="V21" i="43" s="1"/>
  <c r="W21" i="43" s="1"/>
  <c r="X21" i="43" s="1"/>
  <c r="Y21" i="43" s="1"/>
  <c r="Z21" i="43" s="1"/>
  <c r="AA21" i="43" s="1"/>
  <c r="AB21" i="43" s="1"/>
  <c r="AC21" i="43" s="1"/>
  <c r="AD21" i="43" s="1"/>
  <c r="AE21" i="43" s="1"/>
  <c r="AF21" i="43" s="1"/>
  <c r="AG21" i="43" s="1"/>
  <c r="AH21" i="43" s="1"/>
  <c r="AI21" i="43" s="1"/>
  <c r="AJ21" i="43" s="1"/>
  <c r="AK21" i="43" s="1"/>
  <c r="AL21" i="43" s="1"/>
  <c r="AM21" i="43" s="1"/>
  <c r="AN21" i="43" s="1"/>
  <c r="AO21" i="43" s="1"/>
  <c r="AP21" i="43" s="1"/>
  <c r="AQ21" i="43" s="1"/>
  <c r="AR21" i="43" s="1"/>
  <c r="AS21" i="43" s="1"/>
  <c r="AT21" i="43" s="1"/>
  <c r="AU21" i="43" s="1"/>
  <c r="AV21" i="43" s="1"/>
  <c r="P22" i="43"/>
  <c r="Q22" i="43" s="1"/>
  <c r="R22" i="43" s="1"/>
  <c r="S22" i="43" s="1"/>
  <c r="T22" i="43" s="1"/>
  <c r="U22" i="43" s="1"/>
  <c r="V22" i="43" s="1"/>
  <c r="W22" i="43"/>
  <c r="X22" i="43" s="1"/>
  <c r="Y22" i="43" s="1"/>
  <c r="Z22" i="43" s="1"/>
  <c r="AA22" i="43" s="1"/>
  <c r="AB22" i="43" s="1"/>
  <c r="AC22" i="43" s="1"/>
  <c r="AD22" i="43" s="1"/>
  <c r="AE22" i="43" s="1"/>
  <c r="AF22" i="43" s="1"/>
  <c r="AG22" i="43" s="1"/>
  <c r="AH22" i="43" s="1"/>
  <c r="AI22" i="43" s="1"/>
  <c r="AJ22" i="43" s="1"/>
  <c r="AK22" i="43" s="1"/>
  <c r="AL22" i="43" s="1"/>
  <c r="AM22" i="43"/>
  <c r="AN22" i="43" s="1"/>
  <c r="AO22" i="43" s="1"/>
  <c r="AP22" i="43" s="1"/>
  <c r="AQ22" i="43" s="1"/>
  <c r="AR22" i="43" s="1"/>
  <c r="AS22" i="43" s="1"/>
  <c r="AT22" i="43" s="1"/>
  <c r="AU22" i="43" s="1"/>
  <c r="AV22" i="43" s="1"/>
  <c r="P23" i="43"/>
  <c r="Q23" i="43"/>
  <c r="R23" i="43"/>
  <c r="S23" i="43"/>
  <c r="T23" i="43"/>
  <c r="U23" i="43"/>
  <c r="V23" i="43"/>
  <c r="W23" i="43"/>
  <c r="X23" i="43"/>
  <c r="Y23" i="43"/>
  <c r="Z23" i="43"/>
  <c r="AA23" i="43"/>
  <c r="AB23" i="43"/>
  <c r="AC23" i="43"/>
  <c r="AD23" i="43"/>
  <c r="AE23" i="43"/>
  <c r="AF23" i="43"/>
  <c r="AG23" i="43"/>
  <c r="AH23" i="43"/>
  <c r="AI23" i="43"/>
  <c r="AJ23" i="43"/>
  <c r="AK23" i="43"/>
  <c r="AL23" i="43"/>
  <c r="AM23" i="43"/>
  <c r="AN23" i="43"/>
  <c r="AO23" i="43"/>
  <c r="AP23" i="43"/>
  <c r="AQ23" i="43"/>
  <c r="AR23" i="43"/>
  <c r="AS23" i="43"/>
  <c r="AT23" i="43"/>
  <c r="AU23" i="43"/>
  <c r="AV23" i="43"/>
  <c r="P24" i="43"/>
  <c r="Q24" i="43"/>
  <c r="R24" i="43"/>
  <c r="S24" i="43"/>
  <c r="T24" i="43"/>
  <c r="U24" i="43"/>
  <c r="V24" i="43"/>
  <c r="W24" i="43"/>
  <c r="X24" i="43"/>
  <c r="Y24" i="43"/>
  <c r="Z24" i="43"/>
  <c r="AA24" i="43"/>
  <c r="AB24" i="43"/>
  <c r="AC24" i="43"/>
  <c r="AD24" i="43"/>
  <c r="AE24" i="43"/>
  <c r="AF24" i="43"/>
  <c r="AG24" i="43"/>
  <c r="AH24" i="43"/>
  <c r="AI24" i="43"/>
  <c r="AJ24" i="43"/>
  <c r="AK24" i="43"/>
  <c r="AL24" i="43"/>
  <c r="AM24" i="43"/>
  <c r="AN24" i="43"/>
  <c r="AO24" i="43"/>
  <c r="AP24" i="43"/>
  <c r="AQ24" i="43"/>
  <c r="AR24" i="43"/>
  <c r="AS24" i="43"/>
  <c r="AT24" i="43"/>
  <c r="AU24" i="43"/>
  <c r="AV24" i="43"/>
  <c r="P25" i="43"/>
  <c r="Q25" i="43"/>
  <c r="R25" i="43"/>
  <c r="S25" i="43"/>
  <c r="T25" i="43"/>
  <c r="U25" i="43"/>
  <c r="V25" i="43"/>
  <c r="W25" i="43"/>
  <c r="X25" i="43"/>
  <c r="Y25" i="43"/>
  <c r="Z25" i="43"/>
  <c r="AA25" i="43"/>
  <c r="AB25" i="43"/>
  <c r="AC25" i="43"/>
  <c r="AD25" i="43"/>
  <c r="AE25" i="43"/>
  <c r="AF25" i="43"/>
  <c r="AG25" i="43"/>
  <c r="AH25" i="43"/>
  <c r="AI25" i="43"/>
  <c r="AJ25" i="43"/>
  <c r="AK25" i="43"/>
  <c r="AL25" i="43"/>
  <c r="AM25" i="43"/>
  <c r="AN25" i="43"/>
  <c r="AO25" i="43"/>
  <c r="AP25" i="43"/>
  <c r="AQ25" i="43"/>
  <c r="AR25" i="43"/>
  <c r="AS25" i="43"/>
  <c r="AT25" i="43"/>
  <c r="AU25" i="43"/>
  <c r="AV25" i="43"/>
  <c r="P26" i="43"/>
  <c r="Q26" i="43" s="1"/>
  <c r="R26" i="43" s="1"/>
  <c r="S26" i="43" s="1"/>
  <c r="T26" i="43" s="1"/>
  <c r="U26" i="43" s="1"/>
  <c r="V26" i="43" s="1"/>
  <c r="W26" i="43"/>
  <c r="X26" i="43" s="1"/>
  <c r="Y26" i="43" s="1"/>
  <c r="Z26" i="43" s="1"/>
  <c r="AA26" i="43" s="1"/>
  <c r="AB26" i="43" s="1"/>
  <c r="AC26" i="43" s="1"/>
  <c r="AD26" i="43" s="1"/>
  <c r="AE26" i="43" s="1"/>
  <c r="AF26" i="43" s="1"/>
  <c r="AG26" i="43" s="1"/>
  <c r="AH26" i="43" s="1"/>
  <c r="AI26" i="43" s="1"/>
  <c r="AJ26" i="43" s="1"/>
  <c r="AK26" i="43" s="1"/>
  <c r="AL26" i="43" s="1"/>
  <c r="AM26" i="43" s="1"/>
  <c r="AN26" i="43" s="1"/>
  <c r="AO26" i="43" s="1"/>
  <c r="AP26" i="43" s="1"/>
  <c r="AQ26" i="43" s="1"/>
  <c r="AR26" i="43" s="1"/>
  <c r="AS26" i="43" s="1"/>
  <c r="AT26" i="43" s="1"/>
  <c r="AU26" i="43" s="1"/>
  <c r="AV26" i="43" s="1"/>
  <c r="P27" i="43"/>
  <c r="Q27" i="43" s="1"/>
  <c r="R27" i="43"/>
  <c r="S27" i="43"/>
  <c r="T27" i="43" s="1"/>
  <c r="U27" i="43" s="1"/>
  <c r="V27" i="43" s="1"/>
  <c r="W27" i="43" s="1"/>
  <c r="X27" i="43" s="1"/>
  <c r="Y27" i="43" s="1"/>
  <c r="Z27" i="43" s="1"/>
  <c r="AA27" i="43" s="1"/>
  <c r="AB27" i="43" s="1"/>
  <c r="AC27" i="43" s="1"/>
  <c r="AD27" i="43" s="1"/>
  <c r="AE27" i="43" s="1"/>
  <c r="AF27" i="43" s="1"/>
  <c r="AG27" i="43" s="1"/>
  <c r="AH27" i="43" s="1"/>
  <c r="AI27" i="43" s="1"/>
  <c r="AJ27" i="43" s="1"/>
  <c r="AK27" i="43" s="1"/>
  <c r="AL27" i="43" s="1"/>
  <c r="AM27" i="43" s="1"/>
  <c r="AN27" i="43" s="1"/>
  <c r="AO27" i="43" s="1"/>
  <c r="AP27" i="43" s="1"/>
  <c r="AQ27" i="43" s="1"/>
  <c r="AR27" i="43" s="1"/>
  <c r="AS27" i="43" s="1"/>
  <c r="AT27" i="43" s="1"/>
  <c r="AU27" i="43" s="1"/>
  <c r="AV27" i="43" s="1"/>
  <c r="P28" i="43"/>
  <c r="Q28" i="43"/>
  <c r="R28" i="43" s="1"/>
  <c r="S28" i="43" s="1"/>
  <c r="T28" i="43" s="1"/>
  <c r="U28" i="43" s="1"/>
  <c r="V28" i="43" s="1"/>
  <c r="W28" i="43" s="1"/>
  <c r="X28" i="43" s="1"/>
  <c r="Y28" i="43" s="1"/>
  <c r="Z28" i="43" s="1"/>
  <c r="AA28" i="43" s="1"/>
  <c r="AB28" i="43" s="1"/>
  <c r="AC28" i="43" s="1"/>
  <c r="AD28" i="43" s="1"/>
  <c r="AE28" i="43" s="1"/>
  <c r="AF28" i="43" s="1"/>
  <c r="AG28" i="43" s="1"/>
  <c r="AH28" i="43" s="1"/>
  <c r="AI28" i="43" s="1"/>
  <c r="AJ28" i="43" s="1"/>
  <c r="AK28" i="43" s="1"/>
  <c r="AL28" i="43" s="1"/>
  <c r="AM28" i="43" s="1"/>
  <c r="AN28" i="43" s="1"/>
  <c r="AO28" i="43" s="1"/>
  <c r="AP28" i="43" s="1"/>
  <c r="AQ28" i="43" s="1"/>
  <c r="AR28" i="43" s="1"/>
  <c r="AS28" i="43" s="1"/>
  <c r="AT28" i="43" s="1"/>
  <c r="AU28" i="43" s="1"/>
  <c r="AV28" i="43" s="1"/>
  <c r="P29" i="43"/>
  <c r="Q29" i="43" s="1"/>
  <c r="R29" i="43" s="1"/>
  <c r="S29" i="43" s="1"/>
  <c r="T29" i="43" s="1"/>
  <c r="U29" i="43" s="1"/>
  <c r="V29" i="43" s="1"/>
  <c r="W29" i="43" s="1"/>
  <c r="X29" i="43" s="1"/>
  <c r="Y29" i="43" s="1"/>
  <c r="Z29" i="43" s="1"/>
  <c r="AA29" i="43" s="1"/>
  <c r="AB29" i="43" s="1"/>
  <c r="AC29" i="43" s="1"/>
  <c r="AD29" i="43" s="1"/>
  <c r="AE29" i="43" s="1"/>
  <c r="AF29" i="43" s="1"/>
  <c r="AG29" i="43" s="1"/>
  <c r="AH29" i="43" s="1"/>
  <c r="AI29" i="43" s="1"/>
  <c r="AJ29" i="43" s="1"/>
  <c r="AK29" i="43" s="1"/>
  <c r="AL29" i="43" s="1"/>
  <c r="AM29" i="43" s="1"/>
  <c r="AN29" i="43" s="1"/>
  <c r="AO29" i="43" s="1"/>
  <c r="AP29" i="43" s="1"/>
  <c r="AQ29" i="43" s="1"/>
  <c r="AR29" i="43" s="1"/>
  <c r="AS29" i="43" s="1"/>
  <c r="AT29" i="43" s="1"/>
  <c r="AU29" i="43" s="1"/>
  <c r="AV29" i="43" s="1"/>
  <c r="P30" i="43"/>
  <c r="Q30" i="43" s="1"/>
  <c r="R30" i="43" s="1"/>
  <c r="S30" i="43" s="1"/>
  <c r="T30" i="43" s="1"/>
  <c r="U30" i="43" s="1"/>
  <c r="V30" i="43" s="1"/>
  <c r="W30" i="43"/>
  <c r="X30" i="43" s="1"/>
  <c r="Y30" i="43" s="1"/>
  <c r="Z30" i="43" s="1"/>
  <c r="AA30" i="43" s="1"/>
  <c r="AB30" i="43" s="1"/>
  <c r="AC30" i="43" s="1"/>
  <c r="AD30" i="43" s="1"/>
  <c r="AE30" i="43" s="1"/>
  <c r="AF30" i="43" s="1"/>
  <c r="AG30" i="43" s="1"/>
  <c r="AH30" i="43" s="1"/>
  <c r="AI30" i="43" s="1"/>
  <c r="AJ30" i="43" s="1"/>
  <c r="AK30" i="43" s="1"/>
  <c r="AL30" i="43" s="1"/>
  <c r="AM30" i="43"/>
  <c r="AN30" i="43" s="1"/>
  <c r="AO30" i="43" s="1"/>
  <c r="AP30" i="43" s="1"/>
  <c r="AQ30" i="43" s="1"/>
  <c r="AR30" i="43" s="1"/>
  <c r="AS30" i="43" s="1"/>
  <c r="AT30" i="43" s="1"/>
  <c r="AU30" i="43" s="1"/>
  <c r="AV30" i="43" s="1"/>
  <c r="P31" i="43"/>
  <c r="Q31" i="43" s="1"/>
  <c r="R31" i="43" s="1"/>
  <c r="S31" i="43" s="1"/>
  <c r="T31" i="43" s="1"/>
  <c r="U31" i="43" s="1"/>
  <c r="V31" i="43" s="1"/>
  <c r="W31" i="43" s="1"/>
  <c r="X31" i="43" s="1"/>
  <c r="Y31" i="43" s="1"/>
  <c r="Z31" i="43" s="1"/>
  <c r="AA31" i="43" s="1"/>
  <c r="AB31" i="43" s="1"/>
  <c r="AC31" i="43" s="1"/>
  <c r="AD31" i="43" s="1"/>
  <c r="AE31" i="43" s="1"/>
  <c r="AF31" i="43" s="1"/>
  <c r="AG31" i="43" s="1"/>
  <c r="AH31" i="43" s="1"/>
  <c r="AI31" i="43" s="1"/>
  <c r="AJ31" i="43" s="1"/>
  <c r="AK31" i="43" s="1"/>
  <c r="AL31" i="43" s="1"/>
  <c r="AM31" i="43" s="1"/>
  <c r="AN31" i="43" s="1"/>
  <c r="AO31" i="43" s="1"/>
  <c r="AP31" i="43" s="1"/>
  <c r="AQ31" i="43" s="1"/>
  <c r="AR31" i="43" s="1"/>
  <c r="AS31" i="43" s="1"/>
  <c r="AT31" i="43" s="1"/>
  <c r="AU31" i="43" s="1"/>
  <c r="AV31" i="43" s="1"/>
  <c r="P32" i="43"/>
  <c r="Q32" i="43"/>
  <c r="R32" i="43"/>
  <c r="S32" i="43"/>
  <c r="T32" i="43" s="1"/>
  <c r="U32" i="43" s="1"/>
  <c r="V32" i="43" s="1"/>
  <c r="W32" i="43" s="1"/>
  <c r="X32" i="43" s="1"/>
  <c r="Y32" i="43" s="1"/>
  <c r="Z32" i="43" s="1"/>
  <c r="AA32" i="43" s="1"/>
  <c r="AB32" i="43" s="1"/>
  <c r="AC32" i="43" s="1"/>
  <c r="AD32" i="43" s="1"/>
  <c r="AE32" i="43" s="1"/>
  <c r="AF32" i="43" s="1"/>
  <c r="AG32" i="43" s="1"/>
  <c r="AH32" i="43" s="1"/>
  <c r="AI32" i="43" s="1"/>
  <c r="AJ32" i="43" s="1"/>
  <c r="AK32" i="43" s="1"/>
  <c r="AL32" i="43" s="1"/>
  <c r="AM32" i="43" s="1"/>
  <c r="AN32" i="43" s="1"/>
  <c r="AO32" i="43"/>
  <c r="AP32" i="43" s="1"/>
  <c r="AQ32" i="43" s="1"/>
  <c r="AR32" i="43" s="1"/>
  <c r="AS32" i="43" s="1"/>
  <c r="AT32" i="43" s="1"/>
  <c r="AU32" i="43" s="1"/>
  <c r="AV32" i="43" s="1"/>
  <c r="P33" i="43"/>
  <c r="Q33" i="43"/>
  <c r="R33" i="43"/>
  <c r="S33" i="43" s="1"/>
  <c r="T33" i="43" s="1"/>
  <c r="U33" i="43" s="1"/>
  <c r="V33" i="43" s="1"/>
  <c r="W33" i="43" s="1"/>
  <c r="X33" i="43" s="1"/>
  <c r="Y33" i="43" s="1"/>
  <c r="Z33" i="43" s="1"/>
  <c r="AA33" i="43" s="1"/>
  <c r="AB33" i="43" s="1"/>
  <c r="AC33" i="43" s="1"/>
  <c r="AD33" i="43" s="1"/>
  <c r="AE33" i="43" s="1"/>
  <c r="AF33" i="43" s="1"/>
  <c r="AG33" i="43" s="1"/>
  <c r="AH33" i="43" s="1"/>
  <c r="AI33" i="43" s="1"/>
  <c r="AJ33" i="43" s="1"/>
  <c r="AK33" i="43" s="1"/>
  <c r="AL33" i="43" s="1"/>
  <c r="AM33" i="43" s="1"/>
  <c r="AN33" i="43"/>
  <c r="AO33" i="43" s="1"/>
  <c r="AP33" i="43" s="1"/>
  <c r="AQ33" i="43" s="1"/>
  <c r="AR33" i="43" s="1"/>
  <c r="AS33" i="43" s="1"/>
  <c r="AT33" i="43" s="1"/>
  <c r="AU33" i="43" s="1"/>
  <c r="AV33" i="43" s="1"/>
  <c r="P34" i="43"/>
  <c r="Q34" i="43"/>
  <c r="R34" i="43" s="1"/>
  <c r="S34" i="43" s="1"/>
  <c r="T34" i="43" s="1"/>
  <c r="U34" i="43" s="1"/>
  <c r="V34" i="43" s="1"/>
  <c r="W34" i="43" s="1"/>
  <c r="X34" i="43" s="1"/>
  <c r="Y34" i="43" s="1"/>
  <c r="Z34" i="43" s="1"/>
  <c r="AA34" i="43" s="1"/>
  <c r="AB34" i="43"/>
  <c r="AC34" i="43" s="1"/>
  <c r="AD34" i="43" s="1"/>
  <c r="AE34" i="43" s="1"/>
  <c r="AF34" i="43" s="1"/>
  <c r="AG34" i="43" s="1"/>
  <c r="AH34" i="43" s="1"/>
  <c r="AI34" i="43" s="1"/>
  <c r="AJ34" i="43" s="1"/>
  <c r="AK34" i="43" s="1"/>
  <c r="AL34" i="43" s="1"/>
  <c r="AM34" i="43" s="1"/>
  <c r="AN34" i="43" s="1"/>
  <c r="AO34" i="43" s="1"/>
  <c r="AP34" i="43" s="1"/>
  <c r="AQ34" i="43" s="1"/>
  <c r="AR34" i="43" s="1"/>
  <c r="AS34" i="43" s="1"/>
  <c r="AT34" i="43" s="1"/>
  <c r="AU34" i="43" s="1"/>
  <c r="AV34" i="43" s="1"/>
  <c r="P35" i="43"/>
  <c r="Q35" i="43" s="1"/>
  <c r="R35" i="43" s="1"/>
  <c r="S35" i="43" s="1"/>
  <c r="T35" i="43" s="1"/>
  <c r="U35" i="43" s="1"/>
  <c r="V35" i="43" s="1"/>
  <c r="W35" i="43" s="1"/>
  <c r="X35" i="43" s="1"/>
  <c r="Y35" i="43" s="1"/>
  <c r="Z35" i="43" s="1"/>
  <c r="AA35" i="43" s="1"/>
  <c r="AB35" i="43" s="1"/>
  <c r="AC35" i="43" s="1"/>
  <c r="AD35" i="43" s="1"/>
  <c r="AE35" i="43" s="1"/>
  <c r="AF35" i="43" s="1"/>
  <c r="AG35" i="43" s="1"/>
  <c r="AH35" i="43" s="1"/>
  <c r="AI35" i="43" s="1"/>
  <c r="AJ35" i="43" s="1"/>
  <c r="AK35" i="43" s="1"/>
  <c r="AL35" i="43" s="1"/>
  <c r="AM35" i="43" s="1"/>
  <c r="AN35" i="43" s="1"/>
  <c r="AO35" i="43" s="1"/>
  <c r="AP35" i="43" s="1"/>
  <c r="AQ35" i="43" s="1"/>
  <c r="AR35" i="43" s="1"/>
  <c r="AS35" i="43" s="1"/>
  <c r="AT35" i="43" s="1"/>
  <c r="AU35" i="43" s="1"/>
  <c r="AV35" i="43" s="1"/>
  <c r="P36" i="43"/>
  <c r="Q36" i="43"/>
  <c r="R36" i="43"/>
  <c r="S36" i="43"/>
  <c r="T36" i="43" s="1"/>
  <c r="U36" i="43" s="1"/>
  <c r="V36" i="43" s="1"/>
  <c r="W36" i="43" s="1"/>
  <c r="X36" i="43" s="1"/>
  <c r="Y36" i="43" s="1"/>
  <c r="Z36" i="43" s="1"/>
  <c r="AA36" i="43" s="1"/>
  <c r="AB36" i="43" s="1"/>
  <c r="AC36" i="43" s="1"/>
  <c r="AD36" i="43" s="1"/>
  <c r="AE36" i="43" s="1"/>
  <c r="AF36" i="43" s="1"/>
  <c r="AG36" i="43" s="1"/>
  <c r="AH36" i="43" s="1"/>
  <c r="AI36" i="43" s="1"/>
  <c r="AJ36" i="43" s="1"/>
  <c r="AK36" i="43" s="1"/>
  <c r="AL36" i="43" s="1"/>
  <c r="AM36" i="43" s="1"/>
  <c r="AN36" i="43" s="1"/>
  <c r="AO36" i="43" s="1"/>
  <c r="AP36" i="43" s="1"/>
  <c r="AQ36" i="43" s="1"/>
  <c r="AR36" i="43" s="1"/>
  <c r="AS36" i="43" s="1"/>
  <c r="AT36" i="43" s="1"/>
  <c r="AU36" i="43" s="1"/>
  <c r="AV36" i="43" s="1"/>
  <c r="P37" i="43"/>
  <c r="Q37" i="43"/>
  <c r="R37" i="43" s="1"/>
  <c r="S37" i="43" s="1"/>
  <c r="T37" i="43" s="1"/>
  <c r="U37" i="43" s="1"/>
  <c r="V37" i="43" s="1"/>
  <c r="W37" i="43" s="1"/>
  <c r="X37" i="43" s="1"/>
  <c r="Y37" i="43" s="1"/>
  <c r="Z37" i="43" s="1"/>
  <c r="AA37" i="43" s="1"/>
  <c r="AB37" i="43" s="1"/>
  <c r="AC37" i="43" s="1"/>
  <c r="AD37" i="43" s="1"/>
  <c r="AE37" i="43" s="1"/>
  <c r="AF37" i="43" s="1"/>
  <c r="AG37" i="43" s="1"/>
  <c r="AH37" i="43" s="1"/>
  <c r="AI37" i="43" s="1"/>
  <c r="AJ37" i="43" s="1"/>
  <c r="AK37" i="43" s="1"/>
  <c r="AL37" i="43" s="1"/>
  <c r="AM37" i="43" s="1"/>
  <c r="AN37" i="43" s="1"/>
  <c r="AO37" i="43" s="1"/>
  <c r="AP37" i="43" s="1"/>
  <c r="AQ37" i="43" s="1"/>
  <c r="AR37" i="43" s="1"/>
  <c r="AS37" i="43" s="1"/>
  <c r="AT37" i="43" s="1"/>
  <c r="AU37" i="43" s="1"/>
  <c r="AV37" i="43" s="1"/>
  <c r="P38" i="43"/>
  <c r="Q38" i="43"/>
  <c r="R38" i="43" s="1"/>
  <c r="S38" i="43"/>
  <c r="T38" i="43" s="1"/>
  <c r="U38" i="43" s="1"/>
  <c r="V38" i="43" s="1"/>
  <c r="W38" i="43" s="1"/>
  <c r="X38" i="43" s="1"/>
  <c r="Y38" i="43" s="1"/>
  <c r="Z38" i="43" s="1"/>
  <c r="AA38" i="43" s="1"/>
  <c r="AB38" i="43" s="1"/>
  <c r="AC38" i="43" s="1"/>
  <c r="AD38" i="43" s="1"/>
  <c r="AE38" i="43" s="1"/>
  <c r="AF38" i="43" s="1"/>
  <c r="AG38" i="43" s="1"/>
  <c r="AH38" i="43" s="1"/>
  <c r="AI38" i="43" s="1"/>
  <c r="AJ38" i="43" s="1"/>
  <c r="AK38" i="43" s="1"/>
  <c r="AL38" i="43" s="1"/>
  <c r="AM38" i="43" s="1"/>
  <c r="AN38" i="43" s="1"/>
  <c r="AO38" i="43" s="1"/>
  <c r="AP38" i="43" s="1"/>
  <c r="AQ38" i="43" s="1"/>
  <c r="AR38" i="43" s="1"/>
  <c r="AS38" i="43" s="1"/>
  <c r="AT38" i="43" s="1"/>
  <c r="AU38" i="43" s="1"/>
  <c r="AV38" i="43" s="1"/>
  <c r="P39" i="43"/>
  <c r="Q39" i="43" s="1"/>
  <c r="R39" i="43" s="1"/>
  <c r="S39" i="43" s="1"/>
  <c r="T39" i="43" s="1"/>
  <c r="U39" i="43" s="1"/>
  <c r="V39" i="43" s="1"/>
  <c r="W39" i="43" s="1"/>
  <c r="X39" i="43" s="1"/>
  <c r="Y39" i="43" s="1"/>
  <c r="Z39" i="43" s="1"/>
  <c r="AA39" i="43" s="1"/>
  <c r="AB39" i="43" s="1"/>
  <c r="AC39" i="43" s="1"/>
  <c r="AD39" i="43" s="1"/>
  <c r="AE39" i="43" s="1"/>
  <c r="AF39" i="43" s="1"/>
  <c r="AG39" i="43" s="1"/>
  <c r="AH39" i="43" s="1"/>
  <c r="AI39" i="43" s="1"/>
  <c r="AJ39" i="43" s="1"/>
  <c r="AK39" i="43" s="1"/>
  <c r="AL39" i="43" s="1"/>
  <c r="AM39" i="43" s="1"/>
  <c r="AN39" i="43" s="1"/>
  <c r="AO39" i="43"/>
  <c r="AP39" i="43" s="1"/>
  <c r="AQ39" i="43" s="1"/>
  <c r="AR39" i="43" s="1"/>
  <c r="AS39" i="43" s="1"/>
  <c r="AT39" i="43" s="1"/>
  <c r="AU39" i="43" s="1"/>
  <c r="AV39" i="43" s="1"/>
  <c r="P40" i="43"/>
  <c r="Q40" i="43"/>
  <c r="R40" i="43" s="1"/>
  <c r="S40" i="43" s="1"/>
  <c r="T40" i="43" s="1"/>
  <c r="U40" i="43" s="1"/>
  <c r="V40" i="43" s="1"/>
  <c r="W40" i="43" s="1"/>
  <c r="X40" i="43" s="1"/>
  <c r="Y40" i="43" s="1"/>
  <c r="Z40" i="43" s="1"/>
  <c r="AA40" i="43" s="1"/>
  <c r="AB40" i="43"/>
  <c r="AC40" i="43" s="1"/>
  <c r="AD40" i="43" s="1"/>
  <c r="AE40" i="43" s="1"/>
  <c r="AF40" i="43" s="1"/>
  <c r="AG40" i="43" s="1"/>
  <c r="AH40" i="43" s="1"/>
  <c r="AI40" i="43" s="1"/>
  <c r="AJ40" i="43" s="1"/>
  <c r="AK40" i="43" s="1"/>
  <c r="AL40" i="43" s="1"/>
  <c r="AM40" i="43"/>
  <c r="AN40" i="43" s="1"/>
  <c r="AO40" i="43" s="1"/>
  <c r="AP40" i="43" s="1"/>
  <c r="AQ40" i="43" s="1"/>
  <c r="AR40" i="43" s="1"/>
  <c r="AS40" i="43" s="1"/>
  <c r="AT40" i="43" s="1"/>
  <c r="AU40" i="43" s="1"/>
  <c r="AV40" i="43" s="1"/>
  <c r="P41" i="43"/>
  <c r="Q41" i="43" s="1"/>
  <c r="R41" i="43" s="1"/>
  <c r="S41" i="43" s="1"/>
  <c r="T41" i="43" s="1"/>
  <c r="U41" i="43" s="1"/>
  <c r="V41" i="43" s="1"/>
  <c r="W41" i="43" s="1"/>
  <c r="X41" i="43" s="1"/>
  <c r="Y41" i="43" s="1"/>
  <c r="Z41" i="43" s="1"/>
  <c r="AA41" i="43" s="1"/>
  <c r="AB41" i="43" s="1"/>
  <c r="AC41" i="43" s="1"/>
  <c r="AD41" i="43" s="1"/>
  <c r="AE41" i="43" s="1"/>
  <c r="AF41" i="43" s="1"/>
  <c r="AG41" i="43" s="1"/>
  <c r="AH41" i="43" s="1"/>
  <c r="AI41" i="43" s="1"/>
  <c r="AJ41" i="43" s="1"/>
  <c r="AK41" i="43" s="1"/>
  <c r="AL41" i="43" s="1"/>
  <c r="AM41" i="43" s="1"/>
  <c r="AN41" i="43" s="1"/>
  <c r="AO41" i="43" s="1"/>
  <c r="AP41" i="43" s="1"/>
  <c r="AQ41" i="43" s="1"/>
  <c r="AR41" i="43" s="1"/>
  <c r="AS41" i="43" s="1"/>
  <c r="AT41" i="43" s="1"/>
  <c r="AU41" i="43" s="1"/>
  <c r="AV41" i="43" s="1"/>
  <c r="P42" i="43"/>
  <c r="Q42" i="43"/>
  <c r="R42" i="43" s="1"/>
  <c r="S42" i="43" s="1"/>
  <c r="T42" i="43" s="1"/>
  <c r="U42" i="43"/>
  <c r="V42" i="43" s="1"/>
  <c r="W42" i="43" s="1"/>
  <c r="X42" i="43" s="1"/>
  <c r="Y42" i="43" s="1"/>
  <c r="Z42" i="43" s="1"/>
  <c r="AA42" i="43" s="1"/>
  <c r="AB42" i="43" s="1"/>
  <c r="AC42" i="43" s="1"/>
  <c r="AD42" i="43" s="1"/>
  <c r="AE42" i="43"/>
  <c r="AF42" i="43" s="1"/>
  <c r="AG42" i="43" s="1"/>
  <c r="AH42" i="43" s="1"/>
  <c r="AI42" i="43" s="1"/>
  <c r="AJ42" i="43" s="1"/>
  <c r="AK42" i="43" s="1"/>
  <c r="AL42" i="43" s="1"/>
  <c r="AM42" i="43" s="1"/>
  <c r="AN42" i="43" s="1"/>
  <c r="AO42" i="43" s="1"/>
  <c r="AP42" i="43" s="1"/>
  <c r="AQ42" i="43" s="1"/>
  <c r="AR42" i="43" s="1"/>
  <c r="AS42" i="43" s="1"/>
  <c r="AT42" i="43" s="1"/>
  <c r="AU42" i="43" s="1"/>
  <c r="AV42" i="43" s="1"/>
  <c r="P43" i="43"/>
  <c r="Q43" i="43" s="1"/>
  <c r="R43" i="43"/>
  <c r="S43" i="43" s="1"/>
  <c r="T43" i="43" s="1"/>
  <c r="U43" i="43" s="1"/>
  <c r="V43" i="43" s="1"/>
  <c r="W43" i="43" s="1"/>
  <c r="X43" i="43" s="1"/>
  <c r="Y43" i="43" s="1"/>
  <c r="Z43" i="43" s="1"/>
  <c r="AA43" i="43" s="1"/>
  <c r="AB43" i="43" s="1"/>
  <c r="AC43" i="43"/>
  <c r="AD43" i="43" s="1"/>
  <c r="AE43" i="43" s="1"/>
  <c r="AF43" i="43" s="1"/>
  <c r="AG43" i="43" s="1"/>
  <c r="AH43" i="43" s="1"/>
  <c r="AI43" i="43" s="1"/>
  <c r="AJ43" i="43" s="1"/>
  <c r="AK43" i="43" s="1"/>
  <c r="AL43" i="43" s="1"/>
  <c r="AM43" i="43" s="1"/>
  <c r="AN43" i="43" s="1"/>
  <c r="AO43" i="43" s="1"/>
  <c r="AP43" i="43" s="1"/>
  <c r="AQ43" i="43" s="1"/>
  <c r="AR43" i="43" s="1"/>
  <c r="AS43" i="43" s="1"/>
  <c r="AT43" i="43" s="1"/>
  <c r="AU43" i="43" s="1"/>
  <c r="AV43" i="43" s="1"/>
  <c r="P44" i="43"/>
  <c r="Q44" i="43"/>
  <c r="R44" i="43" s="1"/>
  <c r="S44" i="43"/>
  <c r="T44" i="43" s="1"/>
  <c r="U44" i="43" s="1"/>
  <c r="V44" i="43" s="1"/>
  <c r="W44" i="43" s="1"/>
  <c r="X44" i="43" s="1"/>
  <c r="Y44" i="43" s="1"/>
  <c r="Z44" i="43" s="1"/>
  <c r="AA44" i="43" s="1"/>
  <c r="AB44" i="43" s="1"/>
  <c r="AC44" i="43" s="1"/>
  <c r="AD44" i="43" s="1"/>
  <c r="AE44" i="43" s="1"/>
  <c r="AF44" i="43" s="1"/>
  <c r="AG44" i="43" s="1"/>
  <c r="AH44" i="43" s="1"/>
  <c r="AI44" i="43"/>
  <c r="AJ44" i="43" s="1"/>
  <c r="AK44" i="43" s="1"/>
  <c r="AL44" i="43" s="1"/>
  <c r="AM44" i="43" s="1"/>
  <c r="AN44" i="43" s="1"/>
  <c r="AO44" i="43" s="1"/>
  <c r="AP44" i="43" s="1"/>
  <c r="AQ44" i="43" s="1"/>
  <c r="AR44" i="43" s="1"/>
  <c r="AS44" i="43" s="1"/>
  <c r="AT44" i="43" s="1"/>
  <c r="AU44" i="43" s="1"/>
  <c r="AV44" i="43" s="1"/>
  <c r="P45" i="43"/>
  <c r="Q45" i="43" s="1"/>
  <c r="R45" i="43"/>
  <c r="S45" i="43" s="1"/>
  <c r="T45" i="43" s="1"/>
  <c r="U45" i="43" s="1"/>
  <c r="V45" i="43" s="1"/>
  <c r="W45" i="43" s="1"/>
  <c r="X45" i="43" s="1"/>
  <c r="Y45" i="43" s="1"/>
  <c r="Z45" i="43" s="1"/>
  <c r="AA45" i="43" s="1"/>
  <c r="AB45" i="43" s="1"/>
  <c r="AC45" i="43" s="1"/>
  <c r="AD45" i="43" s="1"/>
  <c r="AE45" i="43" s="1"/>
  <c r="AF45" i="43" s="1"/>
  <c r="AG45" i="43" s="1"/>
  <c r="AH45" i="43" s="1"/>
  <c r="AI45" i="43" s="1"/>
  <c r="AJ45" i="43" s="1"/>
  <c r="AK45" i="43" s="1"/>
  <c r="AL45" i="43"/>
  <c r="AM45" i="43" s="1"/>
  <c r="AN45" i="43" s="1"/>
  <c r="AO45" i="43" s="1"/>
  <c r="AP45" i="43" s="1"/>
  <c r="AQ45" i="43" s="1"/>
  <c r="AR45" i="43" s="1"/>
  <c r="AS45" i="43" s="1"/>
  <c r="AT45" i="43" s="1"/>
  <c r="AU45" i="43" s="1"/>
  <c r="AV45" i="43" s="1"/>
  <c r="P46" i="43"/>
  <c r="Q46" i="43"/>
  <c r="R46" i="43" s="1"/>
  <c r="S46" i="43" s="1"/>
  <c r="T46" i="43" s="1"/>
  <c r="U46" i="43" s="1"/>
  <c r="V46" i="43" s="1"/>
  <c r="W46" i="43" s="1"/>
  <c r="X46" i="43" s="1"/>
  <c r="Y46" i="43" s="1"/>
  <c r="Z46" i="43" s="1"/>
  <c r="AA46" i="43" s="1"/>
  <c r="AB46" i="43" s="1"/>
  <c r="AC46" i="43" s="1"/>
  <c r="AD46" i="43" s="1"/>
  <c r="AE46" i="43" s="1"/>
  <c r="AF46" i="43" s="1"/>
  <c r="AG46" i="43" s="1"/>
  <c r="AH46" i="43" s="1"/>
  <c r="AI46" i="43" s="1"/>
  <c r="AJ46" i="43" s="1"/>
  <c r="AK46" i="43" s="1"/>
  <c r="AL46" i="43" s="1"/>
  <c r="AM46" i="43" s="1"/>
  <c r="AN46" i="43" s="1"/>
  <c r="AO46" i="43" s="1"/>
  <c r="AP46" i="43" s="1"/>
  <c r="AQ46" i="43" s="1"/>
  <c r="AR46" i="43" s="1"/>
  <c r="AS46" i="43" s="1"/>
  <c r="AT46" i="43" s="1"/>
  <c r="AU46" i="43" s="1"/>
  <c r="AV46" i="43" s="1"/>
  <c r="P47" i="43"/>
  <c r="Q47" i="43" s="1"/>
  <c r="R47" i="43"/>
  <c r="S47" i="43" s="1"/>
  <c r="T47" i="43" s="1"/>
  <c r="U47" i="43" s="1"/>
  <c r="V47" i="43" s="1"/>
  <c r="W47" i="43" s="1"/>
  <c r="X47" i="43" s="1"/>
  <c r="Y47" i="43" s="1"/>
  <c r="Z47" i="43" s="1"/>
  <c r="AA47" i="43" s="1"/>
  <c r="AB47" i="43" s="1"/>
  <c r="AC47" i="43" s="1"/>
  <c r="AD47" i="43" s="1"/>
  <c r="AE47" i="43" s="1"/>
  <c r="AF47" i="43" s="1"/>
  <c r="AG47" i="43" s="1"/>
  <c r="AH47" i="43" s="1"/>
  <c r="AI47" i="43" s="1"/>
  <c r="AJ47" i="43" s="1"/>
  <c r="AK47" i="43" s="1"/>
  <c r="AL47" i="43" s="1"/>
  <c r="AM47" i="43" s="1"/>
  <c r="AN47" i="43" s="1"/>
  <c r="AO47" i="43" s="1"/>
  <c r="AP47" i="43" s="1"/>
  <c r="AQ47" i="43" s="1"/>
  <c r="AR47" i="43" s="1"/>
  <c r="AS47" i="43" s="1"/>
  <c r="AT47" i="43" s="1"/>
  <c r="AU47" i="43" s="1"/>
  <c r="AV47" i="43" s="1"/>
  <c r="P48" i="43"/>
  <c r="Q48" i="43"/>
  <c r="R48" i="43" s="1"/>
  <c r="S48" i="43" s="1"/>
  <c r="T48" i="43" s="1"/>
  <c r="U48" i="43" s="1"/>
  <c r="V48" i="43" s="1"/>
  <c r="W48" i="43" s="1"/>
  <c r="X48" i="43" s="1"/>
  <c r="Y48" i="43" s="1"/>
  <c r="Z48" i="43" s="1"/>
  <c r="AA48" i="43" s="1"/>
  <c r="AB48" i="43" s="1"/>
  <c r="AC48" i="43" s="1"/>
  <c r="AD48" i="43" s="1"/>
  <c r="AE48" i="43" s="1"/>
  <c r="AF48" i="43" s="1"/>
  <c r="AG48" i="43" s="1"/>
  <c r="AH48" i="43" s="1"/>
  <c r="AI48" i="43" s="1"/>
  <c r="AJ48" i="43" s="1"/>
  <c r="AK48" i="43" s="1"/>
  <c r="AL48" i="43" s="1"/>
  <c r="AM48" i="43" s="1"/>
  <c r="AN48" i="43" s="1"/>
  <c r="AO48" i="43" s="1"/>
  <c r="AP48" i="43" s="1"/>
  <c r="AQ48" i="43" s="1"/>
  <c r="AR48" i="43" s="1"/>
  <c r="AS48" i="43" s="1"/>
  <c r="AT48" i="43" s="1"/>
  <c r="AU48" i="43"/>
  <c r="AV48" i="43" s="1"/>
  <c r="P49" i="43"/>
  <c r="Q49" i="43" s="1"/>
  <c r="R49" i="43" s="1"/>
  <c r="S49" i="43" s="1"/>
  <c r="T49" i="43" s="1"/>
  <c r="U49" i="43" s="1"/>
  <c r="V49" i="43" s="1"/>
  <c r="W49" i="43" s="1"/>
  <c r="X49" i="43" s="1"/>
  <c r="Y49" i="43" s="1"/>
  <c r="Z49" i="43" s="1"/>
  <c r="AA49" i="43" s="1"/>
  <c r="AB49" i="43" s="1"/>
  <c r="AC49" i="43" s="1"/>
  <c r="AD49" i="43" s="1"/>
  <c r="AE49" i="43" s="1"/>
  <c r="AF49" i="43" s="1"/>
  <c r="AG49" i="43" s="1"/>
  <c r="AH49" i="43" s="1"/>
  <c r="AI49" i="43" s="1"/>
  <c r="AJ49" i="43" s="1"/>
  <c r="AK49" i="43" s="1"/>
  <c r="AL49" i="43" s="1"/>
  <c r="AM49" i="43" s="1"/>
  <c r="AN49" i="43" s="1"/>
  <c r="AO49" i="43"/>
  <c r="AP49" i="43" s="1"/>
  <c r="AQ49" i="43" s="1"/>
  <c r="AR49" i="43" s="1"/>
  <c r="AS49" i="43" s="1"/>
  <c r="AT49" i="43" s="1"/>
  <c r="AU49" i="43" s="1"/>
  <c r="AV49" i="43" s="1"/>
  <c r="P50" i="43"/>
  <c r="Q50" i="43" s="1"/>
  <c r="R50" i="43" s="1"/>
  <c r="S50" i="43" s="1"/>
  <c r="T50" i="43" s="1"/>
  <c r="U50" i="43" s="1"/>
  <c r="V50" i="43" s="1"/>
  <c r="W50" i="43" s="1"/>
  <c r="X50" i="43" s="1"/>
  <c r="Y50" i="43" s="1"/>
  <c r="Z50" i="43" s="1"/>
  <c r="AA50" i="43" s="1"/>
  <c r="AB50" i="43" s="1"/>
  <c r="AC50" i="43" s="1"/>
  <c r="AD50" i="43" s="1"/>
  <c r="AE50" i="43" s="1"/>
  <c r="AF50" i="43" s="1"/>
  <c r="AG50" i="43" s="1"/>
  <c r="AH50" i="43" s="1"/>
  <c r="AI50" i="43" s="1"/>
  <c r="AJ50" i="43" s="1"/>
  <c r="AK50" i="43" s="1"/>
  <c r="AL50" i="43" s="1"/>
  <c r="AM50" i="43" s="1"/>
  <c r="AN50" i="43"/>
  <c r="AO50" i="43" s="1"/>
  <c r="AP50" i="43" s="1"/>
  <c r="AQ50" i="43" s="1"/>
  <c r="AR50" i="43" s="1"/>
  <c r="AS50" i="43" s="1"/>
  <c r="AT50" i="43" s="1"/>
  <c r="AU50" i="43" s="1"/>
  <c r="AV50" i="43" s="1"/>
  <c r="P51" i="43"/>
  <c r="Q51" i="43"/>
  <c r="R51" i="43"/>
  <c r="S51" i="43"/>
  <c r="T51" i="43"/>
  <c r="U51" i="43"/>
  <c r="V51" i="43"/>
  <c r="W51" i="43"/>
  <c r="X51" i="43"/>
  <c r="Y51" i="43"/>
  <c r="Z51" i="43"/>
  <c r="AA51" i="43"/>
  <c r="AB51" i="43"/>
  <c r="AC51" i="43"/>
  <c r="AD51" i="43"/>
  <c r="AE51" i="43"/>
  <c r="AF51" i="43"/>
  <c r="AG51" i="43"/>
  <c r="AH51" i="43"/>
  <c r="AI51" i="43"/>
  <c r="AJ51" i="43"/>
  <c r="AK51" i="43"/>
  <c r="AL51" i="43"/>
  <c r="AM51" i="43"/>
  <c r="AN51" i="43"/>
  <c r="AO51" i="43"/>
  <c r="AP51" i="43"/>
  <c r="AQ51" i="43"/>
  <c r="AR51" i="43"/>
  <c r="AS51" i="43"/>
  <c r="AT51" i="43"/>
  <c r="AU51" i="43"/>
  <c r="AV51" i="43"/>
  <c r="P52" i="43"/>
  <c r="Q52" i="43" s="1"/>
  <c r="R52" i="43"/>
  <c r="S52" i="43" s="1"/>
  <c r="T52" i="43"/>
  <c r="U52" i="43" s="1"/>
  <c r="V52" i="43" s="1"/>
  <c r="W52" i="43" s="1"/>
  <c r="X52" i="43" s="1"/>
  <c r="Y52" i="43" s="1"/>
  <c r="Z52" i="43" s="1"/>
  <c r="AA52" i="43" s="1"/>
  <c r="AB52" i="43" s="1"/>
  <c r="AC52" i="43" s="1"/>
  <c r="AD52" i="43" s="1"/>
  <c r="AE52" i="43" s="1"/>
  <c r="AF52" i="43" s="1"/>
  <c r="AG52" i="43" s="1"/>
  <c r="AH52" i="43" s="1"/>
  <c r="AI52" i="43" s="1"/>
  <c r="AJ52" i="43" s="1"/>
  <c r="AK52" i="43" s="1"/>
  <c r="AL52" i="43" s="1"/>
  <c r="AM52" i="43" s="1"/>
  <c r="AN52" i="43" s="1"/>
  <c r="AO52" i="43" s="1"/>
  <c r="AP52" i="43" s="1"/>
  <c r="AQ52" i="43" s="1"/>
  <c r="AR52" i="43" s="1"/>
  <c r="AS52" i="43" s="1"/>
  <c r="AT52" i="43" s="1"/>
  <c r="AU52" i="43" s="1"/>
  <c r="AV52" i="43" s="1"/>
  <c r="P53" i="43"/>
  <c r="Q53" i="43"/>
  <c r="R53" i="43" s="1"/>
  <c r="S53" i="43" s="1"/>
  <c r="T53" i="43" s="1"/>
  <c r="U53" i="43" s="1"/>
  <c r="V53" i="43" s="1"/>
  <c r="W53" i="43" s="1"/>
  <c r="X53" i="43" s="1"/>
  <c r="Y53" i="43"/>
  <c r="Z53" i="43" s="1"/>
  <c r="AA53" i="43" s="1"/>
  <c r="AB53" i="43" s="1"/>
  <c r="AC53" i="43" s="1"/>
  <c r="AD53" i="43" s="1"/>
  <c r="AE53" i="43" s="1"/>
  <c r="AF53" i="43" s="1"/>
  <c r="AG53" i="43"/>
  <c r="AH53" i="43" s="1"/>
  <c r="AI53" i="43" s="1"/>
  <c r="AJ53" i="43" s="1"/>
  <c r="AK53" i="43" s="1"/>
  <c r="AL53" i="43" s="1"/>
  <c r="AM53" i="43" s="1"/>
  <c r="AN53" i="43" s="1"/>
  <c r="AO53" i="43" s="1"/>
  <c r="AP53" i="43" s="1"/>
  <c r="AQ53" i="43" s="1"/>
  <c r="AR53" i="43" s="1"/>
  <c r="AS53" i="43" s="1"/>
  <c r="AT53" i="43" s="1"/>
  <c r="AU53" i="43" s="1"/>
  <c r="AV53" i="43" s="1"/>
  <c r="P54" i="43"/>
  <c r="Q54" i="43" s="1"/>
  <c r="R54" i="43" s="1"/>
  <c r="S54" i="43" s="1"/>
  <c r="T54" i="43" s="1"/>
  <c r="U54" i="43" s="1"/>
  <c r="V54" i="43" s="1"/>
  <c r="W54" i="43" s="1"/>
  <c r="X54" i="43"/>
  <c r="Y54" i="43" s="1"/>
  <c r="Z54" i="43" s="1"/>
  <c r="AA54" i="43" s="1"/>
  <c r="AB54" i="43" s="1"/>
  <c r="AC54" i="43" s="1"/>
  <c r="AD54" i="43" s="1"/>
  <c r="AE54" i="43" s="1"/>
  <c r="AF54" i="43"/>
  <c r="AG54" i="43" s="1"/>
  <c r="AH54" i="43" s="1"/>
  <c r="AI54" i="43" s="1"/>
  <c r="AJ54" i="43" s="1"/>
  <c r="AK54" i="43" s="1"/>
  <c r="AL54" i="43" s="1"/>
  <c r="AM54" i="43" s="1"/>
  <c r="AN54" i="43" s="1"/>
  <c r="AO54" i="43" s="1"/>
  <c r="AP54" i="43" s="1"/>
  <c r="AQ54" i="43" s="1"/>
  <c r="AR54" i="43" s="1"/>
  <c r="AS54" i="43" s="1"/>
  <c r="AT54" i="43" s="1"/>
  <c r="AU54" i="43" s="1"/>
  <c r="AV54" i="43" s="1"/>
  <c r="P55" i="43"/>
  <c r="Q55" i="43"/>
  <c r="R55" i="43" s="1"/>
  <c r="S55" i="43"/>
  <c r="T55" i="43" s="1"/>
  <c r="U55" i="43"/>
  <c r="V55" i="43" s="1"/>
  <c r="W55" i="43" s="1"/>
  <c r="X55" i="43" s="1"/>
  <c r="Y55" i="43" s="1"/>
  <c r="Z55" i="43" s="1"/>
  <c r="AA55" i="43" s="1"/>
  <c r="AB55" i="43" s="1"/>
  <c r="AC55" i="43"/>
  <c r="AD55" i="43" s="1"/>
  <c r="AE55" i="43" s="1"/>
  <c r="AF55" i="43" s="1"/>
  <c r="AG55" i="43" s="1"/>
  <c r="AH55" i="43" s="1"/>
  <c r="AI55" i="43" s="1"/>
  <c r="AJ55" i="43" s="1"/>
  <c r="AK55" i="43"/>
  <c r="AL55" i="43" s="1"/>
  <c r="AM55" i="43" s="1"/>
  <c r="AN55" i="43" s="1"/>
  <c r="AO55" i="43" s="1"/>
  <c r="AP55" i="43" s="1"/>
  <c r="AQ55" i="43" s="1"/>
  <c r="AR55" i="43" s="1"/>
  <c r="AS55" i="43" s="1"/>
  <c r="AT55" i="43" s="1"/>
  <c r="AU55" i="43" s="1"/>
  <c r="AV55" i="43" s="1"/>
  <c r="P56" i="43"/>
  <c r="Q56" i="43" s="1"/>
  <c r="R56" i="43"/>
  <c r="S56" i="43" s="1"/>
  <c r="T56" i="43"/>
  <c r="U56" i="43" s="1"/>
  <c r="V56" i="43" s="1"/>
  <c r="W56" i="43" s="1"/>
  <c r="X56" i="43" s="1"/>
  <c r="Y56" i="43" s="1"/>
  <c r="Z56" i="43" s="1"/>
  <c r="AA56" i="43" s="1"/>
  <c r="AB56" i="43" s="1"/>
  <c r="AC56" i="43" s="1"/>
  <c r="AD56" i="43" s="1"/>
  <c r="AE56" i="43" s="1"/>
  <c r="AF56" i="43" s="1"/>
  <c r="AG56" i="43" s="1"/>
  <c r="AH56" i="43" s="1"/>
  <c r="AI56" i="43" s="1"/>
  <c r="AJ56" i="43" s="1"/>
  <c r="AK56" i="43" s="1"/>
  <c r="AL56" i="43" s="1"/>
  <c r="AM56" i="43" s="1"/>
  <c r="AN56" i="43" s="1"/>
  <c r="AO56" i="43" s="1"/>
  <c r="AP56" i="43" s="1"/>
  <c r="AQ56" i="43" s="1"/>
  <c r="AR56" i="43" s="1"/>
  <c r="AS56" i="43" s="1"/>
  <c r="AT56" i="43" s="1"/>
  <c r="AU56" i="43" s="1"/>
  <c r="AV56" i="43" s="1"/>
  <c r="P57" i="43"/>
  <c r="Q57" i="43"/>
  <c r="R57" i="43" s="1"/>
  <c r="S57" i="43" s="1"/>
  <c r="T57" i="43" s="1"/>
  <c r="U57" i="43" s="1"/>
  <c r="V57" i="43" s="1"/>
  <c r="W57" i="43" s="1"/>
  <c r="X57" i="43" s="1"/>
  <c r="Y57" i="43" s="1"/>
  <c r="Z57" i="43" s="1"/>
  <c r="AA57" i="43" s="1"/>
  <c r="AB57" i="43" s="1"/>
  <c r="AC57" i="43" s="1"/>
  <c r="AD57" i="43" s="1"/>
  <c r="AE57" i="43" s="1"/>
  <c r="AF57" i="43" s="1"/>
  <c r="AG57" i="43" s="1"/>
  <c r="AH57" i="43" s="1"/>
  <c r="AI57" i="43" s="1"/>
  <c r="AJ57" i="43" s="1"/>
  <c r="AK57" i="43" s="1"/>
  <c r="AL57" i="43" s="1"/>
  <c r="AM57" i="43" s="1"/>
  <c r="AN57" i="43" s="1"/>
  <c r="AO57" i="43"/>
  <c r="AP57" i="43" s="1"/>
  <c r="AQ57" i="43" s="1"/>
  <c r="AR57" i="43" s="1"/>
  <c r="AS57" i="43" s="1"/>
  <c r="AT57" i="43" s="1"/>
  <c r="AU57" i="43" s="1"/>
  <c r="AV57" i="43" s="1"/>
  <c r="P58" i="43"/>
  <c r="Q58" i="43" s="1"/>
  <c r="R58" i="43" s="1"/>
  <c r="S58" i="43" s="1"/>
  <c r="T58" i="43" s="1"/>
  <c r="U58" i="43" s="1"/>
  <c r="V58" i="43" s="1"/>
  <c r="W58" i="43" s="1"/>
  <c r="X58" i="43" s="1"/>
  <c r="Y58" i="43" s="1"/>
  <c r="Z58" i="43" s="1"/>
  <c r="AA58" i="43" s="1"/>
  <c r="AB58" i="43" s="1"/>
  <c r="AC58" i="43" s="1"/>
  <c r="AD58" i="43" s="1"/>
  <c r="AE58" i="43" s="1"/>
  <c r="AF58" i="43" s="1"/>
  <c r="AG58" i="43" s="1"/>
  <c r="AH58" i="43" s="1"/>
  <c r="AI58" i="43" s="1"/>
  <c r="AJ58" i="43" s="1"/>
  <c r="AK58" i="43" s="1"/>
  <c r="AL58" i="43" s="1"/>
  <c r="AM58" i="43" s="1"/>
  <c r="AN58" i="43" s="1"/>
  <c r="AO58" i="43" s="1"/>
  <c r="AP58" i="43" s="1"/>
  <c r="AQ58" i="43" s="1"/>
  <c r="AR58" i="43" s="1"/>
  <c r="AS58" i="43" s="1"/>
  <c r="AT58" i="43" s="1"/>
  <c r="AU58" i="43" s="1"/>
  <c r="AV58" i="43" s="1"/>
  <c r="P59" i="43"/>
  <c r="Q59" i="43"/>
  <c r="R59" i="43" s="1"/>
  <c r="S59" i="43"/>
  <c r="T59" i="43" s="1"/>
  <c r="U59" i="43"/>
  <c r="V59" i="43" s="1"/>
  <c r="W59" i="43" s="1"/>
  <c r="X59" i="43" s="1"/>
  <c r="Y59" i="43" s="1"/>
  <c r="Z59" i="43" s="1"/>
  <c r="AA59" i="43" s="1"/>
  <c r="AB59" i="43" s="1"/>
  <c r="AC59" i="43" s="1"/>
  <c r="AD59" i="43" s="1"/>
  <c r="AE59" i="43" s="1"/>
  <c r="AF59" i="43" s="1"/>
  <c r="AG59" i="43" s="1"/>
  <c r="AH59" i="43" s="1"/>
  <c r="AI59" i="43" s="1"/>
  <c r="AJ59" i="43" s="1"/>
  <c r="AK59" i="43" s="1"/>
  <c r="AL59" i="43" s="1"/>
  <c r="AM59" i="43" s="1"/>
  <c r="AN59" i="43" s="1"/>
  <c r="AO59" i="43" s="1"/>
  <c r="AP59" i="43" s="1"/>
  <c r="AQ59" i="43" s="1"/>
  <c r="AR59" i="43" s="1"/>
  <c r="AS59" i="43"/>
  <c r="AT59" i="43" s="1"/>
  <c r="AU59" i="43" s="1"/>
  <c r="AV59" i="43" s="1"/>
  <c r="P60" i="43"/>
  <c r="Q60" i="43" s="1"/>
  <c r="R60" i="43"/>
  <c r="S60" i="43" s="1"/>
  <c r="T60" i="43"/>
  <c r="U60" i="43" s="1"/>
  <c r="V60" i="43" s="1"/>
  <c r="W60" i="43" s="1"/>
  <c r="X60" i="43" s="1"/>
  <c r="Y60" i="43" s="1"/>
  <c r="Z60" i="43" s="1"/>
  <c r="AA60" i="43" s="1"/>
  <c r="AB60" i="43"/>
  <c r="AC60" i="43" s="1"/>
  <c r="AD60" i="43" s="1"/>
  <c r="AE60" i="43" s="1"/>
  <c r="AF60" i="43" s="1"/>
  <c r="AG60" i="43" s="1"/>
  <c r="AH60" i="43" s="1"/>
  <c r="AI60" i="43" s="1"/>
  <c r="AJ60" i="43" s="1"/>
  <c r="AK60" i="43" s="1"/>
  <c r="AL60" i="43" s="1"/>
  <c r="AM60" i="43" s="1"/>
  <c r="AN60" i="43" s="1"/>
  <c r="AO60" i="43" s="1"/>
  <c r="AP60" i="43" s="1"/>
  <c r="AQ60" i="43" s="1"/>
  <c r="AR60" i="43" s="1"/>
  <c r="AS60" i="43" s="1"/>
  <c r="AT60" i="43" s="1"/>
  <c r="AU60" i="43" s="1"/>
  <c r="AV60" i="43" s="1"/>
  <c r="P61" i="43"/>
  <c r="Q61" i="43"/>
  <c r="R61" i="43" s="1"/>
  <c r="S61" i="43" s="1"/>
  <c r="T61" i="43" s="1"/>
  <c r="U61" i="43" s="1"/>
  <c r="V61" i="43" s="1"/>
  <c r="W61" i="43" s="1"/>
  <c r="X61" i="43" s="1"/>
  <c r="Y61" i="43" s="1"/>
  <c r="Z61" i="43" s="1"/>
  <c r="AA61" i="43" s="1"/>
  <c r="AB61" i="43" s="1"/>
  <c r="AC61" i="43" s="1"/>
  <c r="AD61" i="43" s="1"/>
  <c r="AE61" i="43" s="1"/>
  <c r="AF61" i="43" s="1"/>
  <c r="AG61" i="43" s="1"/>
  <c r="AH61" i="43" s="1"/>
  <c r="AI61" i="43" s="1"/>
  <c r="AJ61" i="43" s="1"/>
  <c r="AK61" i="43" s="1"/>
  <c r="AL61" i="43" s="1"/>
  <c r="AM61" i="43" s="1"/>
  <c r="AN61" i="43" s="1"/>
  <c r="AO61" i="43" s="1"/>
  <c r="AP61" i="43" s="1"/>
  <c r="AQ61" i="43" s="1"/>
  <c r="AR61" i="43" s="1"/>
  <c r="AS61" i="43" s="1"/>
  <c r="AT61" i="43" s="1"/>
  <c r="AU61" i="43" s="1"/>
  <c r="AV61" i="43" s="1"/>
  <c r="P62" i="43"/>
  <c r="Q62" i="43" s="1"/>
  <c r="R62" i="43" s="1"/>
  <c r="S62" i="43" s="1"/>
  <c r="T62" i="43" s="1"/>
  <c r="U62" i="43" s="1"/>
  <c r="V62" i="43" s="1"/>
  <c r="W62" i="43" s="1"/>
  <c r="X62" i="43" s="1"/>
  <c r="Y62" i="43" s="1"/>
  <c r="Z62" i="43" s="1"/>
  <c r="AA62" i="43" s="1"/>
  <c r="AB62" i="43" s="1"/>
  <c r="AC62" i="43" s="1"/>
  <c r="AD62" i="43" s="1"/>
  <c r="AE62" i="43" s="1"/>
  <c r="AF62" i="43" s="1"/>
  <c r="AG62" i="43" s="1"/>
  <c r="AH62" i="43" s="1"/>
  <c r="AI62" i="43" s="1"/>
  <c r="AJ62" i="43" s="1"/>
  <c r="AK62" i="43" s="1"/>
  <c r="AL62" i="43" s="1"/>
  <c r="AM62" i="43" s="1"/>
  <c r="AN62" i="43" s="1"/>
  <c r="AO62" i="43" s="1"/>
  <c r="AP62" i="43" s="1"/>
  <c r="AQ62" i="43" s="1"/>
  <c r="AR62" i="43" s="1"/>
  <c r="AS62" i="43" s="1"/>
  <c r="AT62" i="43" s="1"/>
  <c r="AU62" i="43" s="1"/>
  <c r="AV62" i="43"/>
  <c r="P63" i="43"/>
  <c r="Q63" i="43"/>
  <c r="R63" i="43" s="1"/>
  <c r="S63" i="43"/>
  <c r="T63" i="43" s="1"/>
  <c r="U63" i="43"/>
  <c r="V63" i="43" s="1"/>
  <c r="W63" i="43" s="1"/>
  <c r="X63" i="43" s="1"/>
  <c r="Y63" i="43" s="1"/>
  <c r="Z63" i="43" s="1"/>
  <c r="AA63" i="43" s="1"/>
  <c r="AB63" i="43" s="1"/>
  <c r="AC63" i="43" s="1"/>
  <c r="AD63" i="43" s="1"/>
  <c r="AE63" i="43" s="1"/>
  <c r="AF63" i="43" s="1"/>
  <c r="AG63" i="43" s="1"/>
  <c r="AH63" i="43" s="1"/>
  <c r="AI63" i="43" s="1"/>
  <c r="AJ63" i="43" s="1"/>
  <c r="AK63" i="43" s="1"/>
  <c r="AL63" i="43" s="1"/>
  <c r="AM63" i="43" s="1"/>
  <c r="AN63" i="43" s="1"/>
  <c r="AO63" i="43" s="1"/>
  <c r="AP63" i="43" s="1"/>
  <c r="AQ63" i="43" s="1"/>
  <c r="AR63" i="43" s="1"/>
  <c r="AS63" i="43" s="1"/>
  <c r="AT63" i="43" s="1"/>
  <c r="AU63" i="43"/>
  <c r="AV63" i="43" s="1"/>
  <c r="P64" i="43"/>
  <c r="Q64" i="43"/>
  <c r="R64" i="43"/>
  <c r="S64" i="43" s="1"/>
  <c r="T64" i="43" s="1"/>
  <c r="U64" i="43" s="1"/>
  <c r="V64" i="43"/>
  <c r="W64" i="43" s="1"/>
  <c r="X64" i="43" s="1"/>
  <c r="Y64" i="43" s="1"/>
  <c r="Z64" i="43" s="1"/>
  <c r="AA64" i="43" s="1"/>
  <c r="AB64" i="43" s="1"/>
  <c r="AC64" i="43" s="1"/>
  <c r="AD64" i="43" s="1"/>
  <c r="AE64" i="43" s="1"/>
  <c r="AF64" i="43" s="1"/>
  <c r="AG64" i="43" s="1"/>
  <c r="AH64" i="43" s="1"/>
  <c r="AI64" i="43" s="1"/>
  <c r="AJ64" i="43" s="1"/>
  <c r="AK64" i="43" s="1"/>
  <c r="AL64" i="43" s="1"/>
  <c r="AM64" i="43" s="1"/>
  <c r="AN64" i="43" s="1"/>
  <c r="AO64" i="43" s="1"/>
  <c r="AP64" i="43" s="1"/>
  <c r="AQ64" i="43" s="1"/>
  <c r="AR64" i="43" s="1"/>
  <c r="AS64" i="43" s="1"/>
  <c r="AT64" i="43" s="1"/>
  <c r="AU64" i="43" s="1"/>
  <c r="AV64" i="43" s="1"/>
  <c r="P65" i="43"/>
  <c r="Q65" i="43"/>
  <c r="R65" i="43" s="1"/>
  <c r="S65" i="43" s="1"/>
  <c r="T65" i="43" s="1"/>
  <c r="U65" i="43" s="1"/>
  <c r="V65" i="43" s="1"/>
  <c r="W65" i="43" s="1"/>
  <c r="X65" i="43" s="1"/>
  <c r="Y65" i="43" s="1"/>
  <c r="Z65" i="43" s="1"/>
  <c r="AA65" i="43" s="1"/>
  <c r="AB65" i="43" s="1"/>
  <c r="AC65" i="43" s="1"/>
  <c r="AD65" i="43" s="1"/>
  <c r="AE65" i="43" s="1"/>
  <c r="AF65" i="43" s="1"/>
  <c r="AG65" i="43"/>
  <c r="AH65" i="43" s="1"/>
  <c r="AI65" i="43" s="1"/>
  <c r="AJ65" i="43" s="1"/>
  <c r="AK65" i="43" s="1"/>
  <c r="AL65" i="43" s="1"/>
  <c r="AM65" i="43" s="1"/>
  <c r="AN65" i="43" s="1"/>
  <c r="AO65" i="43" s="1"/>
  <c r="AP65" i="43" s="1"/>
  <c r="AQ65" i="43" s="1"/>
  <c r="AR65" i="43" s="1"/>
  <c r="AS65" i="43" s="1"/>
  <c r="AT65" i="43" s="1"/>
  <c r="AU65" i="43" s="1"/>
  <c r="AV65" i="43" s="1"/>
  <c r="P66" i="43"/>
  <c r="Q66" i="43" s="1"/>
  <c r="R66" i="43" s="1"/>
  <c r="S66" i="43" s="1"/>
  <c r="T66" i="43" s="1"/>
  <c r="U66" i="43" s="1"/>
  <c r="V66" i="43" s="1"/>
  <c r="W66" i="43" s="1"/>
  <c r="X66" i="43" s="1"/>
  <c r="Y66" i="43" s="1"/>
  <c r="Z66" i="43" s="1"/>
  <c r="AA66" i="43" s="1"/>
  <c r="AB66" i="43" s="1"/>
  <c r="AC66" i="43" s="1"/>
  <c r="AD66" i="43" s="1"/>
  <c r="AE66" i="43" s="1"/>
  <c r="AF66" i="43" s="1"/>
  <c r="AG66" i="43" s="1"/>
  <c r="AH66" i="43" s="1"/>
  <c r="AI66" i="43" s="1"/>
  <c r="AJ66" i="43" s="1"/>
  <c r="AK66" i="43" s="1"/>
  <c r="AL66" i="43" s="1"/>
  <c r="AM66" i="43" s="1"/>
  <c r="AN66" i="43" s="1"/>
  <c r="AO66" i="43" s="1"/>
  <c r="AP66" i="43" s="1"/>
  <c r="AQ66" i="43" s="1"/>
  <c r="AR66" i="43" s="1"/>
  <c r="AS66" i="43" s="1"/>
  <c r="AT66" i="43" s="1"/>
  <c r="AU66" i="43" s="1"/>
  <c r="AV66" i="43" s="1"/>
  <c r="P67" i="43"/>
  <c r="Q67" i="43"/>
  <c r="R67" i="43"/>
  <c r="S67" i="43"/>
  <c r="T67" i="43"/>
  <c r="U67" i="43"/>
  <c r="V67" i="43"/>
  <c r="W67" i="43"/>
  <c r="X67" i="43"/>
  <c r="Y67" i="43"/>
  <c r="Z67" i="43"/>
  <c r="AA67" i="43"/>
  <c r="AB67" i="43"/>
  <c r="AC67" i="43"/>
  <c r="AD67" i="43"/>
  <c r="AE67" i="43"/>
  <c r="AF67" i="43"/>
  <c r="AG67" i="43"/>
  <c r="AH67" i="43"/>
  <c r="AI67" i="43"/>
  <c r="AJ67" i="43"/>
  <c r="AK67" i="43"/>
  <c r="AL67" i="43"/>
  <c r="AM67" i="43"/>
  <c r="AN67" i="43"/>
  <c r="AO67" i="43"/>
  <c r="AP67" i="43"/>
  <c r="AQ67" i="43"/>
  <c r="AR67" i="43"/>
  <c r="AS67" i="43"/>
  <c r="AT67" i="43"/>
  <c r="AU67" i="43"/>
  <c r="AV67" i="43"/>
  <c r="P68" i="43"/>
  <c r="Q68" i="43"/>
  <c r="R68" i="43"/>
  <c r="S68" i="43" s="1"/>
  <c r="T68" i="43" s="1"/>
  <c r="U68" i="43" s="1"/>
  <c r="V68" i="43" s="1"/>
  <c r="W68" i="43" s="1"/>
  <c r="X68" i="43" s="1"/>
  <c r="Y68" i="43" s="1"/>
  <c r="Z68" i="43" s="1"/>
  <c r="AA68" i="43" s="1"/>
  <c r="AB68" i="43" s="1"/>
  <c r="AC68" i="43"/>
  <c r="AD68" i="43" s="1"/>
  <c r="AE68" i="43" s="1"/>
  <c r="AF68" i="43" s="1"/>
  <c r="AG68" i="43" s="1"/>
  <c r="AH68" i="43" s="1"/>
  <c r="AI68" i="43" s="1"/>
  <c r="AJ68" i="43" s="1"/>
  <c r="AK68" i="43" s="1"/>
  <c r="AL68" i="43" s="1"/>
  <c r="AM68" i="43" s="1"/>
  <c r="AN68" i="43" s="1"/>
  <c r="AO68" i="43" s="1"/>
  <c r="AP68" i="43" s="1"/>
  <c r="AQ68" i="43" s="1"/>
  <c r="AR68" i="43" s="1"/>
  <c r="AS68" i="43" s="1"/>
  <c r="AT68" i="43" s="1"/>
  <c r="AU68" i="43" s="1"/>
  <c r="AV68" i="43" s="1"/>
  <c r="P69" i="43"/>
  <c r="Q69" i="43"/>
  <c r="R69" i="43" s="1"/>
  <c r="S69" i="43" s="1"/>
  <c r="T69" i="43"/>
  <c r="U69" i="43" s="1"/>
  <c r="V69" i="43" s="1"/>
  <c r="W69" i="43" s="1"/>
  <c r="X69" i="43" s="1"/>
  <c r="Y69" i="43" s="1"/>
  <c r="Z69" i="43" s="1"/>
  <c r="AA69" i="43" s="1"/>
  <c r="AB69" i="43" s="1"/>
  <c r="AC69" i="43" s="1"/>
  <c r="AD69" i="43" s="1"/>
  <c r="AE69" i="43" s="1"/>
  <c r="AF69" i="43" s="1"/>
  <c r="AG69" i="43" s="1"/>
  <c r="AH69" i="43" s="1"/>
  <c r="AI69" i="43" s="1"/>
  <c r="AJ69" i="43" s="1"/>
  <c r="AK69" i="43" s="1"/>
  <c r="AL69" i="43" s="1"/>
  <c r="AM69" i="43" s="1"/>
  <c r="AN69" i="43" s="1"/>
  <c r="AO69" i="43" s="1"/>
  <c r="AP69" i="43" s="1"/>
  <c r="AQ69" i="43" s="1"/>
  <c r="AR69" i="43" s="1"/>
  <c r="AS69" i="43" s="1"/>
  <c r="AT69" i="43" s="1"/>
  <c r="AU69" i="43" s="1"/>
  <c r="AV69" i="43" s="1"/>
  <c r="P70" i="43"/>
  <c r="Q70" i="43" s="1"/>
  <c r="R70" i="43" s="1"/>
  <c r="S70" i="43"/>
  <c r="T70" i="43" s="1"/>
  <c r="U70" i="43" s="1"/>
  <c r="V70" i="43" s="1"/>
  <c r="W70" i="43" s="1"/>
  <c r="X70" i="43" s="1"/>
  <c r="Y70" i="43" s="1"/>
  <c r="Z70" i="43" s="1"/>
  <c r="AA70" i="43"/>
  <c r="AB70" i="43" s="1"/>
  <c r="AC70" i="43" s="1"/>
  <c r="AD70" i="43" s="1"/>
  <c r="AE70" i="43" s="1"/>
  <c r="AF70" i="43" s="1"/>
  <c r="AG70" i="43" s="1"/>
  <c r="AH70" i="43" s="1"/>
  <c r="AI70" i="43"/>
  <c r="AJ70" i="43" s="1"/>
  <c r="AK70" i="43" s="1"/>
  <c r="AL70" i="43" s="1"/>
  <c r="AM70" i="43" s="1"/>
  <c r="AN70" i="43" s="1"/>
  <c r="AO70" i="43" s="1"/>
  <c r="AP70" i="43" s="1"/>
  <c r="AQ70" i="43" s="1"/>
  <c r="AR70" i="43" s="1"/>
  <c r="AS70" i="43" s="1"/>
  <c r="AT70" i="43" s="1"/>
  <c r="AU70" i="43" s="1"/>
  <c r="AV70" i="43" s="1"/>
  <c r="P71" i="43"/>
  <c r="Q71" i="43" s="1"/>
  <c r="R71" i="43" s="1"/>
  <c r="S71" i="43" s="1"/>
  <c r="T71" i="43" s="1"/>
  <c r="U71" i="43" s="1"/>
  <c r="V71" i="43" s="1"/>
  <c r="W71" i="43"/>
  <c r="X71" i="43" s="1"/>
  <c r="Y71" i="43" s="1"/>
  <c r="Z71" i="43" s="1"/>
  <c r="AA71" i="43" s="1"/>
  <c r="AB71" i="43" s="1"/>
  <c r="AC71" i="43" s="1"/>
  <c r="AD71" i="43" s="1"/>
  <c r="AE71" i="43"/>
  <c r="AF71" i="43" s="1"/>
  <c r="AG71" i="43" s="1"/>
  <c r="AH71" i="43" s="1"/>
  <c r="AI71" i="43" s="1"/>
  <c r="AJ71" i="43" s="1"/>
  <c r="AK71" i="43" s="1"/>
  <c r="AL71" i="43" s="1"/>
  <c r="AM71" i="43" s="1"/>
  <c r="AN71" i="43" s="1"/>
  <c r="AO71" i="43" s="1"/>
  <c r="AP71" i="43" s="1"/>
  <c r="AQ71" i="43" s="1"/>
  <c r="AR71" i="43" s="1"/>
  <c r="AS71" i="43" s="1"/>
  <c r="AT71" i="43" s="1"/>
  <c r="AU71" i="43" s="1"/>
  <c r="AV71" i="43" s="1"/>
  <c r="P72" i="43"/>
  <c r="Q72" i="43"/>
  <c r="R72" i="43"/>
  <c r="S72" i="43" s="1"/>
  <c r="T72" i="43" s="1"/>
  <c r="U72" i="43"/>
  <c r="V72" i="43" s="1"/>
  <c r="W72" i="43" s="1"/>
  <c r="X72" i="43" s="1"/>
  <c r="Y72" i="43" s="1"/>
  <c r="Z72" i="43" s="1"/>
  <c r="AA72" i="43" s="1"/>
  <c r="AB72" i="43" s="1"/>
  <c r="AC72" i="43"/>
  <c r="AD72" i="43" s="1"/>
  <c r="AE72" i="43" s="1"/>
  <c r="AF72" i="43" s="1"/>
  <c r="AG72" i="43" s="1"/>
  <c r="AH72" i="43" s="1"/>
  <c r="AI72" i="43" s="1"/>
  <c r="AJ72" i="43" s="1"/>
  <c r="AK72" i="43"/>
  <c r="AL72" i="43" s="1"/>
  <c r="AM72" i="43" s="1"/>
  <c r="AN72" i="43" s="1"/>
  <c r="AO72" i="43" s="1"/>
  <c r="AP72" i="43" s="1"/>
  <c r="AQ72" i="43" s="1"/>
  <c r="AR72" i="43" s="1"/>
  <c r="AS72" i="43" s="1"/>
  <c r="AT72" i="43" s="1"/>
  <c r="AU72" i="43" s="1"/>
  <c r="AV72" i="43" s="1"/>
  <c r="P73" i="43"/>
  <c r="Q73" i="43"/>
  <c r="R73" i="43" s="1"/>
  <c r="S73" i="43" s="1"/>
  <c r="T73" i="43"/>
  <c r="U73" i="43" s="1"/>
  <c r="V73" i="43" s="1"/>
  <c r="W73" i="43" s="1"/>
  <c r="X73" i="43" s="1"/>
  <c r="Y73" i="43" s="1"/>
  <c r="Z73" i="43" s="1"/>
  <c r="AA73" i="43" s="1"/>
  <c r="AB73" i="43" s="1"/>
  <c r="AC73" i="43" s="1"/>
  <c r="AD73" i="43" s="1"/>
  <c r="AE73" i="43" s="1"/>
  <c r="AF73" i="43" s="1"/>
  <c r="AG73" i="43" s="1"/>
  <c r="AH73" i="43" s="1"/>
  <c r="AI73" i="43" s="1"/>
  <c r="AJ73" i="43" s="1"/>
  <c r="AK73" i="43" s="1"/>
  <c r="AL73" i="43" s="1"/>
  <c r="AM73" i="43" s="1"/>
  <c r="AN73" i="43" s="1"/>
  <c r="AO73" i="43" s="1"/>
  <c r="AP73" i="43" s="1"/>
  <c r="AQ73" i="43" s="1"/>
  <c r="AR73" i="43" s="1"/>
  <c r="AS73" i="43" s="1"/>
  <c r="AT73" i="43" s="1"/>
  <c r="AU73" i="43" s="1"/>
  <c r="AV73" i="43" s="1"/>
  <c r="P74" i="43"/>
  <c r="Q74" i="43" s="1"/>
  <c r="R74" i="43" s="1"/>
  <c r="S74" i="43"/>
  <c r="T74" i="43" s="1"/>
  <c r="U74" i="43" s="1"/>
  <c r="V74" i="43" s="1"/>
  <c r="W74" i="43" s="1"/>
  <c r="X74" i="43" s="1"/>
  <c r="Y74" i="43" s="1"/>
  <c r="Z74" i="43" s="1"/>
  <c r="AA74" i="43" s="1"/>
  <c r="AB74" i="43" s="1"/>
  <c r="AC74" i="43" s="1"/>
  <c r="AD74" i="43" s="1"/>
  <c r="AE74" i="43" s="1"/>
  <c r="AF74" i="43" s="1"/>
  <c r="AG74" i="43" s="1"/>
  <c r="AH74" i="43" s="1"/>
  <c r="AI74" i="43" s="1"/>
  <c r="AJ74" i="43" s="1"/>
  <c r="AK74" i="43" s="1"/>
  <c r="AL74" i="43" s="1"/>
  <c r="AM74" i="43" s="1"/>
  <c r="AN74" i="43" s="1"/>
  <c r="AO74" i="43" s="1"/>
  <c r="AP74" i="43" s="1"/>
  <c r="AQ74" i="43"/>
  <c r="AR74" i="43" s="1"/>
  <c r="AS74" i="43" s="1"/>
  <c r="AT74" i="43" s="1"/>
  <c r="AU74" i="43" s="1"/>
  <c r="AV74" i="43" s="1"/>
  <c r="P75" i="43"/>
  <c r="Q75" i="43" s="1"/>
  <c r="R75" i="43" s="1"/>
  <c r="S75" i="43" s="1"/>
  <c r="T75" i="43" s="1"/>
  <c r="U75" i="43" s="1"/>
  <c r="V75" i="43" s="1"/>
  <c r="W75" i="43" s="1"/>
  <c r="X75" i="43" s="1"/>
  <c r="Y75" i="43" s="1"/>
  <c r="Z75" i="43" s="1"/>
  <c r="AA75" i="43" s="1"/>
  <c r="AB75" i="43" s="1"/>
  <c r="AC75" i="43" s="1"/>
  <c r="AD75" i="43" s="1"/>
  <c r="AE75" i="43" s="1"/>
  <c r="AF75" i="43" s="1"/>
  <c r="AG75" i="43" s="1"/>
  <c r="AH75" i="43" s="1"/>
  <c r="AI75" i="43" s="1"/>
  <c r="AJ75" i="43" s="1"/>
  <c r="AK75" i="43" s="1"/>
  <c r="AL75" i="43" s="1"/>
  <c r="AM75" i="43"/>
  <c r="AN75" i="43" s="1"/>
  <c r="AO75" i="43" s="1"/>
  <c r="AP75" i="43" s="1"/>
  <c r="AQ75" i="43" s="1"/>
  <c r="AR75" i="43" s="1"/>
  <c r="AS75" i="43" s="1"/>
  <c r="AT75" i="43" s="1"/>
  <c r="AU75" i="43" s="1"/>
  <c r="AV75" i="43" s="1"/>
  <c r="P76" i="43"/>
  <c r="Q76" i="43"/>
  <c r="R76" i="43"/>
  <c r="S76" i="43" s="1"/>
  <c r="T76" i="43" s="1"/>
  <c r="U76" i="43" s="1"/>
  <c r="V76" i="43" s="1"/>
  <c r="W76" i="43" s="1"/>
  <c r="X76" i="43" s="1"/>
  <c r="Y76" i="43" s="1"/>
  <c r="Z76" i="43" s="1"/>
  <c r="AA76" i="43" s="1"/>
  <c r="AB76" i="43" s="1"/>
  <c r="AC76" i="43" s="1"/>
  <c r="AD76" i="43" s="1"/>
  <c r="AE76" i="43" s="1"/>
  <c r="AF76" i="43" s="1"/>
  <c r="AG76" i="43" s="1"/>
  <c r="AH76" i="43" s="1"/>
  <c r="AI76" i="43" s="1"/>
  <c r="AJ76" i="43" s="1"/>
  <c r="AK76" i="43" s="1"/>
  <c r="AL76" i="43" s="1"/>
  <c r="AM76" i="43"/>
  <c r="AN76" i="43" s="1"/>
  <c r="AO76" i="43" s="1"/>
  <c r="AP76" i="43" s="1"/>
  <c r="AQ76" i="43" s="1"/>
  <c r="AR76" i="43" s="1"/>
  <c r="AS76" i="43" s="1"/>
  <c r="AT76" i="43" s="1"/>
  <c r="AU76" i="43" s="1"/>
  <c r="AV76" i="43" s="1"/>
  <c r="P77" i="43"/>
  <c r="Q77" i="43"/>
  <c r="R77" i="43" s="1"/>
  <c r="S77" i="43" s="1"/>
  <c r="T77" i="43" s="1"/>
  <c r="U77" i="43" s="1"/>
  <c r="V77" i="43"/>
  <c r="W77" i="43" s="1"/>
  <c r="X77" i="43" s="1"/>
  <c r="Y77" i="43" s="1"/>
  <c r="Z77" i="43" s="1"/>
  <c r="AA77" i="43" s="1"/>
  <c r="AB77" i="43" s="1"/>
  <c r="AC77" i="43" s="1"/>
  <c r="AD77" i="43" s="1"/>
  <c r="AE77" i="43" s="1"/>
  <c r="AF77" i="43" s="1"/>
  <c r="AG77" i="43" s="1"/>
  <c r="AH77" i="43" s="1"/>
  <c r="AI77" i="43" s="1"/>
  <c r="AJ77" i="43" s="1"/>
  <c r="AK77" i="43" s="1"/>
  <c r="AL77" i="43" s="1"/>
  <c r="AM77" i="43" s="1"/>
  <c r="AN77" i="43" s="1"/>
  <c r="AO77" i="43" s="1"/>
  <c r="AP77" i="43" s="1"/>
  <c r="AQ77" i="43" s="1"/>
  <c r="AR77" i="43"/>
  <c r="AS77" i="43" s="1"/>
  <c r="AT77" i="43" s="1"/>
  <c r="AU77" i="43" s="1"/>
  <c r="AV77" i="43" s="1"/>
  <c r="P78" i="43"/>
  <c r="Q78" i="43" s="1"/>
  <c r="R78" i="43" s="1"/>
  <c r="S78" i="43" s="1"/>
  <c r="T78" i="43" s="1"/>
  <c r="U78" i="43" s="1"/>
  <c r="V78" i="43" s="1"/>
  <c r="W78" i="43" s="1"/>
  <c r="X78" i="43" s="1"/>
  <c r="Y78" i="43" s="1"/>
  <c r="Z78" i="43" s="1"/>
  <c r="AA78" i="43" s="1"/>
  <c r="AB78" i="43" s="1"/>
  <c r="AC78" i="43" s="1"/>
  <c r="AD78" i="43" s="1"/>
  <c r="AE78" i="43" s="1"/>
  <c r="AF78" i="43"/>
  <c r="AG78" i="43" s="1"/>
  <c r="AH78" i="43" s="1"/>
  <c r="AI78" i="43" s="1"/>
  <c r="AJ78" i="43" s="1"/>
  <c r="AK78" i="43" s="1"/>
  <c r="AL78" i="43" s="1"/>
  <c r="AM78" i="43" s="1"/>
  <c r="AN78" i="43" s="1"/>
  <c r="AO78" i="43" s="1"/>
  <c r="AP78" i="43" s="1"/>
  <c r="AQ78" i="43" s="1"/>
  <c r="AR78" i="43" s="1"/>
  <c r="AS78" i="43" s="1"/>
  <c r="AT78" i="43" s="1"/>
  <c r="AU78" i="43" s="1"/>
  <c r="AV78" i="43" s="1"/>
  <c r="P79" i="43"/>
  <c r="Q79" i="43" s="1"/>
  <c r="R79" i="43" s="1"/>
  <c r="S79" i="43" s="1"/>
  <c r="T79" i="43" s="1"/>
  <c r="U79" i="43" s="1"/>
  <c r="V79" i="43" s="1"/>
  <c r="W79" i="43" s="1"/>
  <c r="X79" i="43" s="1"/>
  <c r="Y79" i="43" s="1"/>
  <c r="Z79" i="43" s="1"/>
  <c r="AA79" i="43" s="1"/>
  <c r="AB79" i="43" s="1"/>
  <c r="AC79" i="43" s="1"/>
  <c r="AD79" i="43" s="1"/>
  <c r="AE79" i="43" s="1"/>
  <c r="AF79" i="43" s="1"/>
  <c r="AG79" i="43" s="1"/>
  <c r="AH79" i="43" s="1"/>
  <c r="AI79" i="43" s="1"/>
  <c r="AJ79" i="43"/>
  <c r="AK79" i="43" s="1"/>
  <c r="AL79" i="43" s="1"/>
  <c r="AM79" i="43" s="1"/>
  <c r="AN79" i="43" s="1"/>
  <c r="AO79" i="43" s="1"/>
  <c r="AP79" i="43" s="1"/>
  <c r="AQ79" i="43" s="1"/>
  <c r="AR79" i="43" s="1"/>
  <c r="AS79" i="43" s="1"/>
  <c r="AT79" i="43" s="1"/>
  <c r="AU79" i="43" s="1"/>
  <c r="AV79" i="43" s="1"/>
  <c r="P80" i="43"/>
  <c r="Q80" i="43"/>
  <c r="R80" i="43"/>
  <c r="S80" i="43" s="1"/>
  <c r="T80" i="43" s="1"/>
  <c r="U80" i="43" s="1"/>
  <c r="V80" i="43" s="1"/>
  <c r="W80" i="43" s="1"/>
  <c r="X80" i="43" s="1"/>
  <c r="Y80" i="43" s="1"/>
  <c r="Z80" i="43" s="1"/>
  <c r="AA80" i="43" s="1"/>
  <c r="AB80" i="43" s="1"/>
  <c r="AC80" i="43" s="1"/>
  <c r="AD80" i="43" s="1"/>
  <c r="AE80" i="43" s="1"/>
  <c r="AF80" i="43" s="1"/>
  <c r="AG80" i="43" s="1"/>
  <c r="AH80" i="43"/>
  <c r="AI80" i="43" s="1"/>
  <c r="AJ80" i="43" s="1"/>
  <c r="AK80" i="43" s="1"/>
  <c r="AL80" i="43" s="1"/>
  <c r="AM80" i="43" s="1"/>
  <c r="AN80" i="43" s="1"/>
  <c r="AO80" i="43" s="1"/>
  <c r="AP80" i="43" s="1"/>
  <c r="AQ80" i="43" s="1"/>
  <c r="AR80" i="43" s="1"/>
  <c r="AS80" i="43" s="1"/>
  <c r="AT80" i="43" s="1"/>
  <c r="AU80" i="43" s="1"/>
  <c r="AV80" i="43" s="1"/>
  <c r="P81" i="43"/>
  <c r="Q81" i="43"/>
  <c r="R81" i="43" s="1"/>
  <c r="S81" i="43" s="1"/>
  <c r="T81" i="43" s="1"/>
  <c r="U81" i="43" s="1"/>
  <c r="V81" i="43" s="1"/>
  <c r="W81" i="43" s="1"/>
  <c r="X81" i="43" s="1"/>
  <c r="Y81" i="43" s="1"/>
  <c r="Z81" i="43" s="1"/>
  <c r="AA81" i="43" s="1"/>
  <c r="AB81" i="43" s="1"/>
  <c r="AC81" i="43" s="1"/>
  <c r="AD81" i="43" s="1"/>
  <c r="AE81" i="43" s="1"/>
  <c r="AF81" i="43" s="1"/>
  <c r="AG81" i="43" s="1"/>
  <c r="AH81" i="43" s="1"/>
  <c r="AI81" i="43" s="1"/>
  <c r="AJ81" i="43" s="1"/>
  <c r="AK81" i="43" s="1"/>
  <c r="AL81" i="43"/>
  <c r="AM81" i="43" s="1"/>
  <c r="AN81" i="43" s="1"/>
  <c r="AO81" i="43" s="1"/>
  <c r="AP81" i="43" s="1"/>
  <c r="AQ81" i="43" s="1"/>
  <c r="AR81" i="43" s="1"/>
  <c r="AS81" i="43" s="1"/>
  <c r="AT81" i="43" s="1"/>
  <c r="AU81" i="43" s="1"/>
  <c r="AV81" i="43" s="1"/>
  <c r="P82" i="43"/>
  <c r="Q82" i="43" s="1"/>
  <c r="R82" i="43" s="1"/>
  <c r="S82" i="43" s="1"/>
  <c r="T82" i="43" s="1"/>
  <c r="U82" i="43"/>
  <c r="V82" i="43" s="1"/>
  <c r="W82" i="43" s="1"/>
  <c r="X82" i="43" s="1"/>
  <c r="Y82" i="43" s="1"/>
  <c r="Z82" i="43" s="1"/>
  <c r="AA82" i="43"/>
  <c r="AB82" i="43" s="1"/>
  <c r="AC82" i="43" s="1"/>
  <c r="AD82" i="43" s="1"/>
  <c r="AE82" i="43" s="1"/>
  <c r="AF82" i="43" s="1"/>
  <c r="AG82" i="43" s="1"/>
  <c r="AH82" i="43" s="1"/>
  <c r="AI82" i="43" s="1"/>
  <c r="AJ82" i="43" s="1"/>
  <c r="AK82" i="43" s="1"/>
  <c r="AL82" i="43" s="1"/>
  <c r="AM82" i="43" s="1"/>
  <c r="AN82" i="43" s="1"/>
  <c r="AO82" i="43" s="1"/>
  <c r="AP82" i="43" s="1"/>
  <c r="AQ82" i="43" s="1"/>
  <c r="AR82" i="43" s="1"/>
  <c r="AS82" i="43" s="1"/>
  <c r="AT82" i="43" s="1"/>
  <c r="AU82" i="43" s="1"/>
  <c r="AV82" i="43"/>
  <c r="P83" i="43"/>
  <c r="Q83" i="43" s="1"/>
  <c r="R83" i="43" s="1"/>
  <c r="S83" i="43" s="1"/>
  <c r="T83" i="43" s="1"/>
  <c r="U83" i="43" s="1"/>
  <c r="V83" i="43" s="1"/>
  <c r="W83" i="43" s="1"/>
  <c r="X83" i="43" s="1"/>
  <c r="Y83" i="43" s="1"/>
  <c r="Z83" i="43" s="1"/>
  <c r="AA83" i="43" s="1"/>
  <c r="AB83" i="43" s="1"/>
  <c r="AC83" i="43" s="1"/>
  <c r="AD83" i="43" s="1"/>
  <c r="AE83" i="43" s="1"/>
  <c r="AF83" i="43" s="1"/>
  <c r="AG83" i="43" s="1"/>
  <c r="AH83" i="43" s="1"/>
  <c r="AI83" i="43" s="1"/>
  <c r="AJ83" i="43" s="1"/>
  <c r="AK83" i="43" s="1"/>
  <c r="AL83" i="43" s="1"/>
  <c r="AM83" i="43" s="1"/>
  <c r="AN83" i="43" s="1"/>
  <c r="AO83" i="43" s="1"/>
  <c r="AP83" i="43" s="1"/>
  <c r="AQ83" i="43" s="1"/>
  <c r="AR83" i="43" s="1"/>
  <c r="AS83" i="43" s="1"/>
  <c r="AT83" i="43" s="1"/>
  <c r="AU83" i="43" s="1"/>
  <c r="AV83" i="43" s="1"/>
  <c r="P84" i="43"/>
  <c r="Q84" i="43"/>
  <c r="R84" i="43"/>
  <c r="S84" i="43" s="1"/>
  <c r="T84" i="43" s="1"/>
  <c r="U84" i="43" s="1"/>
  <c r="V84" i="43" s="1"/>
  <c r="W84" i="43"/>
  <c r="X84" i="43" s="1"/>
  <c r="Y84" i="43" s="1"/>
  <c r="Z84" i="43" s="1"/>
  <c r="AA84" i="43" s="1"/>
  <c r="AB84" i="43" s="1"/>
  <c r="AC84" i="43"/>
  <c r="AD84" i="43" s="1"/>
  <c r="AE84" i="43" s="1"/>
  <c r="AF84" i="43" s="1"/>
  <c r="AG84" i="43" s="1"/>
  <c r="AH84" i="43" s="1"/>
  <c r="AI84" i="43" s="1"/>
  <c r="AJ84" i="43" s="1"/>
  <c r="AK84" i="43" s="1"/>
  <c r="AL84" i="43" s="1"/>
  <c r="AM84" i="43" s="1"/>
  <c r="AN84" i="43" s="1"/>
  <c r="AO84" i="43" s="1"/>
  <c r="AP84" i="43" s="1"/>
  <c r="AQ84" i="43" s="1"/>
  <c r="AR84" i="43" s="1"/>
  <c r="AS84" i="43" s="1"/>
  <c r="AT84" i="43" s="1"/>
  <c r="AU84" i="43" s="1"/>
  <c r="AV84" i="43" s="1"/>
  <c r="P85" i="43"/>
  <c r="Q85" i="43"/>
  <c r="R85" i="43" s="1"/>
  <c r="S85" i="43" s="1"/>
  <c r="T85" i="43" s="1"/>
  <c r="U85" i="43" s="1"/>
  <c r="V85" i="43" s="1"/>
  <c r="W85" i="43" s="1"/>
  <c r="X85" i="43" s="1"/>
  <c r="Y85" i="43" s="1"/>
  <c r="Z85" i="43" s="1"/>
  <c r="AA85" i="43" s="1"/>
  <c r="AB85" i="43" s="1"/>
  <c r="AC85" i="43" s="1"/>
  <c r="AD85" i="43" s="1"/>
  <c r="AE85" i="43" s="1"/>
  <c r="AF85" i="43" s="1"/>
  <c r="AG85" i="43" s="1"/>
  <c r="AH85" i="43" s="1"/>
  <c r="AI85" i="43" s="1"/>
  <c r="AJ85" i="43" s="1"/>
  <c r="AK85" i="43" s="1"/>
  <c r="AL85" i="43" s="1"/>
  <c r="AM85" i="43" s="1"/>
  <c r="AN85" i="43" s="1"/>
  <c r="AO85" i="43" s="1"/>
  <c r="AP85" i="43" s="1"/>
  <c r="AQ85" i="43" s="1"/>
  <c r="AR85" i="43" s="1"/>
  <c r="AS85" i="43" s="1"/>
  <c r="AT85" i="43" s="1"/>
  <c r="AU85" i="43" s="1"/>
  <c r="AV85" i="43" s="1"/>
  <c r="P86" i="43"/>
  <c r="Q86" i="43" s="1"/>
  <c r="R86" i="43" s="1"/>
  <c r="S86" i="43" s="1"/>
  <c r="T86" i="43" s="1"/>
  <c r="U86" i="43"/>
  <c r="V86" i="43" s="1"/>
  <c r="W86" i="43" s="1"/>
  <c r="X86" i="43" s="1"/>
  <c r="Y86" i="43" s="1"/>
  <c r="Z86" i="43" s="1"/>
  <c r="AA86" i="43" s="1"/>
  <c r="AB86" i="43" s="1"/>
  <c r="AC86" i="43" s="1"/>
  <c r="AD86" i="43" s="1"/>
  <c r="AE86" i="43" s="1"/>
  <c r="AF86" i="43" s="1"/>
  <c r="AG86" i="43" s="1"/>
  <c r="AH86" i="43" s="1"/>
  <c r="AI86" i="43" s="1"/>
  <c r="AJ86" i="43" s="1"/>
  <c r="AK86" i="43" s="1"/>
  <c r="AL86" i="43" s="1"/>
  <c r="AM86" i="43" s="1"/>
  <c r="AN86" i="43" s="1"/>
  <c r="AO86" i="43" s="1"/>
  <c r="AP86" i="43" s="1"/>
  <c r="AQ86" i="43"/>
  <c r="AR86" i="43" s="1"/>
  <c r="AS86" i="43" s="1"/>
  <c r="AT86" i="43" s="1"/>
  <c r="AU86" i="43" s="1"/>
  <c r="AV86" i="43" s="1"/>
  <c r="P87" i="43"/>
  <c r="Q87" i="43" s="1"/>
  <c r="R87" i="43" s="1"/>
  <c r="S87" i="43" s="1"/>
  <c r="T87" i="43"/>
  <c r="U87" i="43" s="1"/>
  <c r="V87" i="43" s="1"/>
  <c r="W87" i="43" s="1"/>
  <c r="X87" i="43" s="1"/>
  <c r="Y87" i="43" s="1"/>
  <c r="Z87" i="43"/>
  <c r="AA87" i="43" s="1"/>
  <c r="AB87" i="43" s="1"/>
  <c r="AC87" i="43" s="1"/>
  <c r="AD87" i="43" s="1"/>
  <c r="AE87" i="43" s="1"/>
  <c r="AF87" i="43" s="1"/>
  <c r="AG87" i="43" s="1"/>
  <c r="AH87" i="43" s="1"/>
  <c r="AI87" i="43" s="1"/>
  <c r="AJ87" i="43" s="1"/>
  <c r="AK87" i="43" s="1"/>
  <c r="AL87" i="43" s="1"/>
  <c r="AM87" i="43" s="1"/>
  <c r="AN87" i="43" s="1"/>
  <c r="AO87" i="43" s="1"/>
  <c r="AP87" i="43" s="1"/>
  <c r="AQ87" i="43" s="1"/>
  <c r="AR87" i="43" s="1"/>
  <c r="AS87" i="43" s="1"/>
  <c r="AT87" i="43" s="1"/>
  <c r="AU87" i="43"/>
  <c r="AV87" i="43" s="1"/>
  <c r="P88" i="43"/>
  <c r="Q88" i="43"/>
  <c r="R88" i="43"/>
  <c r="S88" i="43" s="1"/>
  <c r="T88" i="43" s="1"/>
  <c r="U88" i="43" s="1"/>
  <c r="V88" i="43" s="1"/>
  <c r="W88" i="43"/>
  <c r="X88" i="43" s="1"/>
  <c r="Y88" i="43" s="1"/>
  <c r="Z88" i="43" s="1"/>
  <c r="AA88" i="43" s="1"/>
  <c r="AB88" i="43" s="1"/>
  <c r="AC88" i="43" s="1"/>
  <c r="AD88" i="43" s="1"/>
  <c r="AE88" i="43" s="1"/>
  <c r="AF88" i="43" s="1"/>
  <c r="AG88" i="43" s="1"/>
  <c r="AH88" i="43" s="1"/>
  <c r="AI88" i="43" s="1"/>
  <c r="AJ88" i="43" s="1"/>
  <c r="AK88" i="43" s="1"/>
  <c r="AL88" i="43" s="1"/>
  <c r="AM88" i="43" s="1"/>
  <c r="AN88" i="43" s="1"/>
  <c r="AO88" i="43" s="1"/>
  <c r="AP88" i="43" s="1"/>
  <c r="AQ88" i="43" s="1"/>
  <c r="AR88" i="43" s="1"/>
  <c r="AS88" i="43" s="1"/>
  <c r="AT88" i="43" s="1"/>
  <c r="AU88" i="43" s="1"/>
  <c r="AV88" i="43" s="1"/>
  <c r="P89" i="43"/>
  <c r="Q89" i="43"/>
  <c r="R89" i="43" s="1"/>
  <c r="S89" i="43" s="1"/>
  <c r="T89" i="43" s="1"/>
  <c r="U89" i="43" s="1"/>
  <c r="V89" i="43"/>
  <c r="W89" i="43" s="1"/>
  <c r="X89" i="43" s="1"/>
  <c r="Y89" i="43" s="1"/>
  <c r="Z89" i="43" s="1"/>
  <c r="AA89" i="43" s="1"/>
  <c r="AB89" i="43"/>
  <c r="AC89" i="43" s="1"/>
  <c r="AD89" i="43" s="1"/>
  <c r="AE89" i="43" s="1"/>
  <c r="AF89" i="43" s="1"/>
  <c r="AG89" i="43" s="1"/>
  <c r="AH89" i="43" s="1"/>
  <c r="AI89" i="43" s="1"/>
  <c r="AJ89" i="43" s="1"/>
  <c r="AK89" i="43" s="1"/>
  <c r="AL89" i="43" s="1"/>
  <c r="AM89" i="43" s="1"/>
  <c r="AN89" i="43" s="1"/>
  <c r="AO89" i="43" s="1"/>
  <c r="AP89" i="43" s="1"/>
  <c r="AQ89" i="43" s="1"/>
  <c r="AR89" i="43" s="1"/>
  <c r="AS89" i="43" s="1"/>
  <c r="AT89" i="43" s="1"/>
  <c r="AU89" i="43" s="1"/>
  <c r="AV89" i="43" s="1"/>
  <c r="P90" i="43"/>
  <c r="Q90" i="43" s="1"/>
  <c r="R90" i="43" s="1"/>
  <c r="S90" i="43" s="1"/>
  <c r="T90" i="43" s="1"/>
  <c r="U90" i="43" s="1"/>
  <c r="V90" i="43" s="1"/>
  <c r="W90" i="43" s="1"/>
  <c r="X90" i="43" s="1"/>
  <c r="Y90" i="43" s="1"/>
  <c r="Z90" i="43" s="1"/>
  <c r="AA90" i="43" s="1"/>
  <c r="AB90" i="43" s="1"/>
  <c r="AC90" i="43" s="1"/>
  <c r="AD90" i="43" s="1"/>
  <c r="AE90" i="43" s="1"/>
  <c r="AF90" i="43" s="1"/>
  <c r="AG90" i="43" s="1"/>
  <c r="AH90" i="43" s="1"/>
  <c r="AI90" i="43" s="1"/>
  <c r="AJ90" i="43" s="1"/>
  <c r="AK90" i="43"/>
  <c r="AL90" i="43" s="1"/>
  <c r="AM90" i="43" s="1"/>
  <c r="AN90" i="43" s="1"/>
  <c r="AO90" i="43" s="1"/>
  <c r="AP90" i="43" s="1"/>
  <c r="AQ90" i="43" s="1"/>
  <c r="AR90" i="43" s="1"/>
  <c r="AS90" i="43" s="1"/>
  <c r="AT90" i="43" s="1"/>
  <c r="AU90" i="43" s="1"/>
  <c r="AV90" i="43" s="1"/>
  <c r="P91" i="43"/>
  <c r="Q91" i="43" s="1"/>
  <c r="R91" i="43" s="1"/>
  <c r="S91" i="43" s="1"/>
  <c r="T91" i="43"/>
  <c r="U91" i="43" s="1"/>
  <c r="V91" i="43" s="1"/>
  <c r="W91" i="43" s="1"/>
  <c r="X91" i="43" s="1"/>
  <c r="Y91" i="43" s="1"/>
  <c r="Z91" i="43" s="1"/>
  <c r="AA91" i="43" s="1"/>
  <c r="AB91" i="43" s="1"/>
  <c r="AC91" i="43" s="1"/>
  <c r="AD91" i="43" s="1"/>
  <c r="AE91" i="43" s="1"/>
  <c r="AF91" i="43" s="1"/>
  <c r="AG91" i="43" s="1"/>
  <c r="AH91" i="43" s="1"/>
  <c r="AI91" i="43" s="1"/>
  <c r="AJ91" i="43" s="1"/>
  <c r="AK91" i="43" s="1"/>
  <c r="AL91" i="43" s="1"/>
  <c r="AM91" i="43" s="1"/>
  <c r="AN91" i="43" s="1"/>
  <c r="AO91" i="43" s="1"/>
  <c r="AP91" i="43"/>
  <c r="AQ91" i="43" s="1"/>
  <c r="AR91" i="43" s="1"/>
  <c r="AS91" i="43" s="1"/>
  <c r="AT91" i="43" s="1"/>
  <c r="AU91" i="43" s="1"/>
  <c r="AV91" i="43" s="1"/>
  <c r="P92" i="43"/>
  <c r="Q92" i="43"/>
  <c r="R92" i="43"/>
  <c r="S92" i="43" s="1"/>
  <c r="T92" i="43" s="1"/>
  <c r="U92" i="43" s="1"/>
  <c r="V92" i="43" s="1"/>
  <c r="W92" i="43" s="1"/>
  <c r="X92" i="43" s="1"/>
  <c r="Y92" i="43" s="1"/>
  <c r="Z92" i="43" s="1"/>
  <c r="AA92" i="43" s="1"/>
  <c r="AB92" i="43" s="1"/>
  <c r="AC92" i="43" s="1"/>
  <c r="AD92" i="43" s="1"/>
  <c r="AE92" i="43" s="1"/>
  <c r="AF92" i="43" s="1"/>
  <c r="AG92" i="43" s="1"/>
  <c r="AH92" i="43" s="1"/>
  <c r="AI92" i="43" s="1"/>
  <c r="AJ92" i="43" s="1"/>
  <c r="AK92" i="43" s="1"/>
  <c r="AL92" i="43" s="1"/>
  <c r="AM92" i="43"/>
  <c r="AN92" i="43" s="1"/>
  <c r="AO92" i="43" s="1"/>
  <c r="AP92" i="43" s="1"/>
  <c r="AQ92" i="43" s="1"/>
  <c r="AR92" i="43" s="1"/>
  <c r="AS92" i="43" s="1"/>
  <c r="AT92" i="43" s="1"/>
  <c r="AU92" i="43" s="1"/>
  <c r="AV92" i="43" s="1"/>
  <c r="P93" i="43"/>
  <c r="Q93" i="43"/>
  <c r="R93" i="43" s="1"/>
  <c r="S93" i="43" s="1"/>
  <c r="T93" i="43" s="1"/>
  <c r="U93" i="43" s="1"/>
  <c r="V93" i="43"/>
  <c r="W93" i="43" s="1"/>
  <c r="X93" i="43" s="1"/>
  <c r="Y93" i="43" s="1"/>
  <c r="Z93" i="43" s="1"/>
  <c r="AA93" i="43" s="1"/>
  <c r="AB93" i="43" s="1"/>
  <c r="AC93" i="43" s="1"/>
  <c r="AD93" i="43" s="1"/>
  <c r="AE93" i="43" s="1"/>
  <c r="AF93" i="43" s="1"/>
  <c r="AG93" i="43" s="1"/>
  <c r="AH93" i="43" s="1"/>
  <c r="AI93" i="43" s="1"/>
  <c r="AJ93" i="43" s="1"/>
  <c r="AK93" i="43" s="1"/>
  <c r="AL93" i="43" s="1"/>
  <c r="AM93" i="43" s="1"/>
  <c r="AN93" i="43" s="1"/>
  <c r="AO93" i="43" s="1"/>
  <c r="AP93" i="43" s="1"/>
  <c r="AQ93" i="43" s="1"/>
  <c r="AR93" i="43"/>
  <c r="AS93" i="43" s="1"/>
  <c r="AT93" i="43" s="1"/>
  <c r="AU93" i="43" s="1"/>
  <c r="AV93" i="43" s="1"/>
  <c r="P94" i="43"/>
  <c r="Q94" i="43" s="1"/>
  <c r="R94" i="43" s="1"/>
  <c r="S94" i="43" s="1"/>
  <c r="T94" i="43" s="1"/>
  <c r="U94" i="43" s="1"/>
  <c r="V94" i="43" s="1"/>
  <c r="W94" i="43" s="1"/>
  <c r="X94" i="43" s="1"/>
  <c r="Y94" i="43" s="1"/>
  <c r="Z94" i="43" s="1"/>
  <c r="AA94" i="43" s="1"/>
  <c r="AB94" i="43" s="1"/>
  <c r="AC94" i="43" s="1"/>
  <c r="AD94" i="43" s="1"/>
  <c r="AE94" i="43" s="1"/>
  <c r="AF94" i="43"/>
  <c r="AG94" i="43" s="1"/>
  <c r="AH94" i="43" s="1"/>
  <c r="AI94" i="43" s="1"/>
  <c r="AJ94" i="43" s="1"/>
  <c r="AK94" i="43" s="1"/>
  <c r="AL94" i="43" s="1"/>
  <c r="AM94" i="43" s="1"/>
  <c r="AN94" i="43" s="1"/>
  <c r="AO94" i="43" s="1"/>
  <c r="AP94" i="43" s="1"/>
  <c r="AQ94" i="43" s="1"/>
  <c r="AR94" i="43" s="1"/>
  <c r="AS94" i="43" s="1"/>
  <c r="AT94" i="43" s="1"/>
  <c r="AU94" i="43" s="1"/>
  <c r="AV94" i="43" s="1"/>
  <c r="P95" i="43"/>
  <c r="Q95" i="43" s="1"/>
  <c r="R95" i="43" s="1"/>
  <c r="S95" i="43" s="1"/>
  <c r="T95" i="43" s="1"/>
  <c r="U95" i="43" s="1"/>
  <c r="V95" i="43" s="1"/>
  <c r="W95" i="43" s="1"/>
  <c r="X95" i="43" s="1"/>
  <c r="Y95" i="43" s="1"/>
  <c r="Z95" i="43" s="1"/>
  <c r="AA95" i="43" s="1"/>
  <c r="AB95" i="43" s="1"/>
  <c r="AC95" i="43" s="1"/>
  <c r="AD95" i="43" s="1"/>
  <c r="AE95" i="43" s="1"/>
  <c r="AF95" i="43" s="1"/>
  <c r="AG95" i="43" s="1"/>
  <c r="AH95" i="43" s="1"/>
  <c r="AI95" i="43" s="1"/>
  <c r="AJ95" i="43"/>
  <c r="AK95" i="43" s="1"/>
  <c r="AL95" i="43" s="1"/>
  <c r="AM95" i="43" s="1"/>
  <c r="AN95" i="43" s="1"/>
  <c r="AO95" i="43" s="1"/>
  <c r="AP95" i="43" s="1"/>
  <c r="AQ95" i="43" s="1"/>
  <c r="AR95" i="43" s="1"/>
  <c r="AS95" i="43" s="1"/>
  <c r="AT95" i="43" s="1"/>
  <c r="AU95" i="43" s="1"/>
  <c r="AV95" i="43" s="1"/>
  <c r="P96" i="43"/>
  <c r="Q96" i="43"/>
  <c r="R96" i="43"/>
  <c r="S96" i="43" s="1"/>
  <c r="T96" i="43" s="1"/>
  <c r="U96" i="43" s="1"/>
  <c r="V96" i="43" s="1"/>
  <c r="W96" i="43" s="1"/>
  <c r="X96" i="43" s="1"/>
  <c r="Y96" i="43" s="1"/>
  <c r="Z96" i="43" s="1"/>
  <c r="AA96" i="43" s="1"/>
  <c r="AB96" i="43" s="1"/>
  <c r="AC96" i="43" s="1"/>
  <c r="AD96" i="43" s="1"/>
  <c r="AE96" i="43" s="1"/>
  <c r="AF96" i="43" s="1"/>
  <c r="AG96" i="43" s="1"/>
  <c r="AH96" i="43"/>
  <c r="AI96" i="43" s="1"/>
  <c r="AJ96" i="43" s="1"/>
  <c r="AK96" i="43" s="1"/>
  <c r="AL96" i="43" s="1"/>
  <c r="AM96" i="43" s="1"/>
  <c r="AN96" i="43" s="1"/>
  <c r="AO96" i="43" s="1"/>
  <c r="AP96" i="43" s="1"/>
  <c r="AQ96" i="43" s="1"/>
  <c r="AR96" i="43" s="1"/>
  <c r="AS96" i="43" s="1"/>
  <c r="AT96" i="43" s="1"/>
  <c r="AU96" i="43" s="1"/>
  <c r="AV96" i="43" s="1"/>
  <c r="P97" i="43"/>
  <c r="Q97" i="43"/>
  <c r="R97" i="43" s="1"/>
  <c r="S97" i="43" s="1"/>
  <c r="T97" i="43" s="1"/>
  <c r="U97" i="43" s="1"/>
  <c r="V97" i="43" s="1"/>
  <c r="W97" i="43" s="1"/>
  <c r="X97" i="43" s="1"/>
  <c r="Y97" i="43" s="1"/>
  <c r="Z97" i="43" s="1"/>
  <c r="AA97" i="43" s="1"/>
  <c r="AB97" i="43" s="1"/>
  <c r="AC97" i="43" s="1"/>
  <c r="AD97" i="43" s="1"/>
  <c r="AE97" i="43" s="1"/>
  <c r="AF97" i="43" s="1"/>
  <c r="AG97" i="43" s="1"/>
  <c r="AH97" i="43" s="1"/>
  <c r="AI97" i="43" s="1"/>
  <c r="AJ97" i="43" s="1"/>
  <c r="AK97" i="43" s="1"/>
  <c r="AL97" i="43" s="1"/>
  <c r="AM97" i="43" s="1"/>
  <c r="AN97" i="43" s="1"/>
  <c r="AO97" i="43" s="1"/>
  <c r="AP97" i="43" s="1"/>
  <c r="AQ97" i="43" s="1"/>
  <c r="AR97" i="43" s="1"/>
  <c r="AS97" i="43" s="1"/>
  <c r="AT97" i="43" s="1"/>
  <c r="AU97" i="43" s="1"/>
  <c r="AV97" i="43" s="1"/>
  <c r="P98" i="43"/>
  <c r="Q98" i="43" s="1"/>
  <c r="R98" i="43" s="1"/>
  <c r="S98" i="43" s="1"/>
  <c r="T98" i="43" s="1"/>
  <c r="U98" i="43" s="1"/>
  <c r="V98" i="43" s="1"/>
  <c r="W98" i="43" s="1"/>
  <c r="X98" i="43" s="1"/>
  <c r="Y98" i="43" s="1"/>
  <c r="Z98" i="43" s="1"/>
  <c r="AA98" i="43" s="1"/>
  <c r="AB98" i="43" s="1"/>
  <c r="AC98" i="43" s="1"/>
  <c r="AD98" i="43" s="1"/>
  <c r="AE98" i="43" s="1"/>
  <c r="AF98" i="43" s="1"/>
  <c r="AG98" i="43" s="1"/>
  <c r="AH98" i="43" s="1"/>
  <c r="AI98" i="43" s="1"/>
  <c r="AJ98" i="43" s="1"/>
  <c r="AK98" i="43" s="1"/>
  <c r="AL98" i="43" s="1"/>
  <c r="AM98" i="43" s="1"/>
  <c r="AN98" i="43" s="1"/>
  <c r="AO98" i="43" s="1"/>
  <c r="AP98" i="43" s="1"/>
  <c r="AQ98" i="43" s="1"/>
  <c r="AR98" i="43" s="1"/>
  <c r="AS98" i="43" s="1"/>
  <c r="AT98" i="43" s="1"/>
  <c r="AU98" i="43" s="1"/>
  <c r="AV98" i="43" s="1"/>
  <c r="P99" i="43"/>
  <c r="Q99" i="43"/>
  <c r="R99" i="43" s="1"/>
  <c r="S99" i="43" s="1"/>
  <c r="T99" i="43" s="1"/>
  <c r="U99" i="43" s="1"/>
  <c r="V99" i="43" s="1"/>
  <c r="W99" i="43" s="1"/>
  <c r="X99" i="43" s="1"/>
  <c r="Y99" i="43"/>
  <c r="Z99" i="43" s="1"/>
  <c r="AA99" i="43" s="1"/>
  <c r="AB99" i="43" s="1"/>
  <c r="AC99" i="43" s="1"/>
  <c r="AD99" i="43" s="1"/>
  <c r="AE99" i="43" s="1"/>
  <c r="AF99" i="43" s="1"/>
  <c r="AG99" i="43" s="1"/>
  <c r="AH99" i="43" s="1"/>
  <c r="AI99" i="43" s="1"/>
  <c r="AJ99" i="43" s="1"/>
  <c r="AK99" i="43" s="1"/>
  <c r="AL99" i="43" s="1"/>
  <c r="AM99" i="43" s="1"/>
  <c r="AN99" i="43" s="1"/>
  <c r="AO99" i="43" s="1"/>
  <c r="AP99" i="43" s="1"/>
  <c r="AQ99" i="43" s="1"/>
  <c r="AR99" i="43" s="1"/>
  <c r="AS99" i="43" s="1"/>
  <c r="AT99" i="43" s="1"/>
  <c r="AU99" i="43" s="1"/>
  <c r="AV99" i="43" s="1"/>
  <c r="P100" i="43"/>
  <c r="Q100" i="43" s="1"/>
  <c r="R100" i="43" s="1"/>
  <c r="S100" i="43" s="1"/>
  <c r="T100" i="43" s="1"/>
  <c r="U100" i="43" s="1"/>
  <c r="V100" i="43" s="1"/>
  <c r="W100" i="43" s="1"/>
  <c r="X100" i="43"/>
  <c r="Y100" i="43" s="1"/>
  <c r="Z100" i="43" s="1"/>
  <c r="AA100" i="43" s="1"/>
  <c r="AB100" i="43" s="1"/>
  <c r="AC100" i="43" s="1"/>
  <c r="AD100" i="43" s="1"/>
  <c r="AE100" i="43" s="1"/>
  <c r="AF100" i="43" s="1"/>
  <c r="AG100" i="43" s="1"/>
  <c r="AH100" i="43" s="1"/>
  <c r="AI100" i="43" s="1"/>
  <c r="AJ100" i="43" s="1"/>
  <c r="AK100" i="43" s="1"/>
  <c r="AL100" i="43" s="1"/>
  <c r="AM100" i="43" s="1"/>
  <c r="AN100" i="43" s="1"/>
  <c r="AO100" i="43" s="1"/>
  <c r="AP100" i="43" s="1"/>
  <c r="AQ100" i="43" s="1"/>
  <c r="AR100" i="43" s="1"/>
  <c r="AS100" i="43" s="1"/>
  <c r="AT100" i="43" s="1"/>
  <c r="AU100" i="43" s="1"/>
  <c r="AV100" i="43" s="1"/>
  <c r="P101" i="43"/>
  <c r="Q101" i="43" s="1"/>
  <c r="R101" i="43"/>
  <c r="S101" i="43"/>
  <c r="T101" i="43" s="1"/>
  <c r="U101" i="43" s="1"/>
  <c r="V101" i="43" s="1"/>
  <c r="W101" i="43" s="1"/>
  <c r="X101" i="43"/>
  <c r="Y101" i="43" s="1"/>
  <c r="Z101" i="43" s="1"/>
  <c r="AA101" i="43" s="1"/>
  <c r="AB101" i="43" s="1"/>
  <c r="AC101" i="43" s="1"/>
  <c r="AD101" i="43"/>
  <c r="AE101" i="43" s="1"/>
  <c r="AF101" i="43" s="1"/>
  <c r="AG101" i="43" s="1"/>
  <c r="AH101" i="43" s="1"/>
  <c r="AI101" i="43" s="1"/>
  <c r="AJ101" i="43" s="1"/>
  <c r="AK101" i="43" s="1"/>
  <c r="AL101" i="43" s="1"/>
  <c r="AM101" i="43" s="1"/>
  <c r="AN101" i="43" s="1"/>
  <c r="AO101" i="43" s="1"/>
  <c r="AP101" i="43" s="1"/>
  <c r="AQ101" i="43" s="1"/>
  <c r="AR101" i="43" s="1"/>
  <c r="AS101" i="43" s="1"/>
  <c r="AT101" i="43" s="1"/>
  <c r="AU101" i="43" s="1"/>
  <c r="AV101" i="43" s="1"/>
  <c r="P102" i="43"/>
  <c r="Q102" i="43"/>
  <c r="R102" i="43" s="1"/>
  <c r="S102" i="43" s="1"/>
  <c r="T102" i="43" s="1"/>
  <c r="U102" i="43" s="1"/>
  <c r="V102" i="43"/>
  <c r="W102" i="43" s="1"/>
  <c r="X102" i="43" s="1"/>
  <c r="Y102" i="43" s="1"/>
  <c r="Z102" i="43" s="1"/>
  <c r="AA102" i="43"/>
  <c r="AB102" i="43" s="1"/>
  <c r="AC102" i="43" s="1"/>
  <c r="AD102" i="43" s="1"/>
  <c r="AE102" i="43" s="1"/>
  <c r="AF102" i="43" s="1"/>
  <c r="AG102" i="43"/>
  <c r="AH102" i="43" s="1"/>
  <c r="AI102" i="43" s="1"/>
  <c r="AJ102" i="43" s="1"/>
  <c r="AK102" i="43" s="1"/>
  <c r="AL102" i="43" s="1"/>
  <c r="AM102" i="43" s="1"/>
  <c r="AN102" i="43" s="1"/>
  <c r="AO102" i="43" s="1"/>
  <c r="AP102" i="43" s="1"/>
  <c r="AQ102" i="43" s="1"/>
  <c r="AR102" i="43" s="1"/>
  <c r="AS102" i="43" s="1"/>
  <c r="AT102" i="43" s="1"/>
  <c r="AU102" i="43" s="1"/>
  <c r="AV102" i="43" s="1"/>
  <c r="P103" i="43"/>
  <c r="Q103" i="43" s="1"/>
  <c r="R103" i="43" s="1"/>
  <c r="S103" i="43" s="1"/>
  <c r="T103" i="43" s="1"/>
  <c r="U103" i="43"/>
  <c r="V103" i="43" s="1"/>
  <c r="W103" i="43" s="1"/>
  <c r="X103" i="43" s="1"/>
  <c r="Y103" i="43" s="1"/>
  <c r="Z103" i="43" s="1"/>
  <c r="AA103" i="43" s="1"/>
  <c r="AB103" i="43" s="1"/>
  <c r="AC103" i="43" s="1"/>
  <c r="AD103" i="43" s="1"/>
  <c r="AE103" i="43" s="1"/>
  <c r="AF103" i="43" s="1"/>
  <c r="AG103" i="43" s="1"/>
  <c r="AH103" i="43" s="1"/>
  <c r="AI103" i="43" s="1"/>
  <c r="AJ103" i="43" s="1"/>
  <c r="AK103" i="43" s="1"/>
  <c r="AL103" i="43" s="1"/>
  <c r="AM103" i="43" s="1"/>
  <c r="AN103" i="43" s="1"/>
  <c r="AO103" i="43" s="1"/>
  <c r="AP103" i="43" s="1"/>
  <c r="AQ103" i="43" s="1"/>
  <c r="AR103" i="43" s="1"/>
  <c r="AS103" i="43" s="1"/>
  <c r="AT103" i="43" s="1"/>
  <c r="AU103" i="43" s="1"/>
  <c r="AV103" i="43" s="1"/>
  <c r="P104" i="43"/>
  <c r="Q104" i="43" s="1"/>
  <c r="R104" i="43" s="1"/>
  <c r="S104" i="43" s="1"/>
  <c r="T104" i="43"/>
  <c r="U104" i="43" s="1"/>
  <c r="V104" i="43" s="1"/>
  <c r="W104" i="43" s="1"/>
  <c r="X104" i="43" s="1"/>
  <c r="Y104" i="43"/>
  <c r="Z104" i="43" s="1"/>
  <c r="AA104" i="43" s="1"/>
  <c r="AB104" i="43" s="1"/>
  <c r="AC104" i="43" s="1"/>
  <c r="AD104" i="43" s="1"/>
  <c r="AE104" i="43" s="1"/>
  <c r="AF104" i="43" s="1"/>
  <c r="AG104" i="43" s="1"/>
  <c r="AH104" i="43" s="1"/>
  <c r="AI104" i="43" s="1"/>
  <c r="AJ104" i="43" s="1"/>
  <c r="AK104" i="43" s="1"/>
  <c r="AL104" i="43" s="1"/>
  <c r="AM104" i="43" s="1"/>
  <c r="AN104" i="43" s="1"/>
  <c r="AO104" i="43" s="1"/>
  <c r="AP104" i="43" s="1"/>
  <c r="AQ104" i="43" s="1"/>
  <c r="AR104" i="43" s="1"/>
  <c r="AS104" i="43" s="1"/>
  <c r="AT104" i="43" s="1"/>
  <c r="AU104" i="43" s="1"/>
  <c r="AV104" i="43" s="1"/>
  <c r="P105" i="43"/>
  <c r="Q105" i="43" s="1"/>
  <c r="R105" i="43"/>
  <c r="S105" i="43"/>
  <c r="T105" i="43" s="1"/>
  <c r="U105" i="43" s="1"/>
  <c r="V105" i="43" s="1"/>
  <c r="W105" i="43" s="1"/>
  <c r="X105" i="43"/>
  <c r="Y105" i="43" s="1"/>
  <c r="Z105" i="43" s="1"/>
  <c r="AA105" i="43" s="1"/>
  <c r="AB105" i="43" s="1"/>
  <c r="AC105" i="43" s="1"/>
  <c r="AD105" i="43" s="1"/>
  <c r="AE105" i="43" s="1"/>
  <c r="AF105" i="43" s="1"/>
  <c r="AG105" i="43" s="1"/>
  <c r="AH105" i="43" s="1"/>
  <c r="AI105" i="43" s="1"/>
  <c r="AJ105" i="43" s="1"/>
  <c r="AK105" i="43" s="1"/>
  <c r="AL105" i="43" s="1"/>
  <c r="AM105" i="43" s="1"/>
  <c r="AN105" i="43" s="1"/>
  <c r="AO105" i="43" s="1"/>
  <c r="AP105" i="43" s="1"/>
  <c r="AQ105" i="43" s="1"/>
  <c r="AR105" i="43" s="1"/>
  <c r="AS105" i="43" s="1"/>
  <c r="AT105" i="43" s="1"/>
  <c r="AU105" i="43" s="1"/>
  <c r="AV105" i="43" s="1"/>
  <c r="P106" i="43"/>
  <c r="Q106" i="43"/>
  <c r="R106" i="43" s="1"/>
  <c r="S106" i="43" s="1"/>
  <c r="T106" i="43" s="1"/>
  <c r="U106" i="43" s="1"/>
  <c r="V106" i="43"/>
  <c r="W106" i="43" s="1"/>
  <c r="X106" i="43" s="1"/>
  <c r="Y106" i="43" s="1"/>
  <c r="Z106" i="43" s="1"/>
  <c r="AA106" i="43"/>
  <c r="AB106" i="43" s="1"/>
  <c r="AC106" i="43" s="1"/>
  <c r="AD106" i="43" s="1"/>
  <c r="AE106" i="43" s="1"/>
  <c r="AF106" i="43" s="1"/>
  <c r="AG106" i="43" s="1"/>
  <c r="AH106" i="43" s="1"/>
  <c r="AI106" i="43" s="1"/>
  <c r="AJ106" i="43" s="1"/>
  <c r="AK106" i="43" s="1"/>
  <c r="AL106" i="43" s="1"/>
  <c r="AM106" i="43" s="1"/>
  <c r="AN106" i="43" s="1"/>
  <c r="AO106" i="43" s="1"/>
  <c r="AP106" i="43" s="1"/>
  <c r="AQ106" i="43" s="1"/>
  <c r="AR106" i="43" s="1"/>
  <c r="AS106" i="43" s="1"/>
  <c r="AT106" i="43" s="1"/>
  <c r="AU106" i="43" s="1"/>
  <c r="AV106" i="43" s="1"/>
  <c r="P107" i="43"/>
  <c r="Q107" i="43" s="1"/>
  <c r="R107" i="43" s="1"/>
  <c r="S107" i="43" s="1"/>
  <c r="T107" i="43" s="1"/>
  <c r="U107" i="43" s="1"/>
  <c r="V107" i="43" s="1"/>
  <c r="W107" i="43" s="1"/>
  <c r="X107" i="43" s="1"/>
  <c r="Y107" i="43" s="1"/>
  <c r="Z107" i="43" s="1"/>
  <c r="AA107" i="43" s="1"/>
  <c r="AB107" i="43" s="1"/>
  <c r="AC107" i="43" s="1"/>
  <c r="AD107" i="43" s="1"/>
  <c r="AE107" i="43" s="1"/>
  <c r="AF107" i="43" s="1"/>
  <c r="AG107" i="43" s="1"/>
  <c r="AH107" i="43" s="1"/>
  <c r="AI107" i="43" s="1"/>
  <c r="AJ107" i="43" s="1"/>
  <c r="AK107" i="43" s="1"/>
  <c r="AL107" i="43" s="1"/>
  <c r="AM107" i="43" s="1"/>
  <c r="AN107" i="43" s="1"/>
  <c r="AO107" i="43" s="1"/>
  <c r="AP107" i="43" s="1"/>
  <c r="AQ107" i="43" s="1"/>
  <c r="AR107" i="43" s="1"/>
  <c r="AS107" i="43" s="1"/>
  <c r="AT107" i="43" s="1"/>
  <c r="AU107" i="43" s="1"/>
  <c r="AV107" i="43" s="1"/>
  <c r="P108" i="43"/>
  <c r="Q108" i="43" s="1"/>
  <c r="R108" i="43" s="1"/>
  <c r="S108" i="43" s="1"/>
  <c r="T108" i="43"/>
  <c r="U108" i="43" s="1"/>
  <c r="V108" i="43" s="1"/>
  <c r="W108" i="43" s="1"/>
  <c r="X108" i="43" s="1"/>
  <c r="Y108" i="43" s="1"/>
  <c r="Z108" i="43" s="1"/>
  <c r="AA108" i="43" s="1"/>
  <c r="AB108" i="43" s="1"/>
  <c r="AC108" i="43" s="1"/>
  <c r="AD108" i="43" s="1"/>
  <c r="AE108" i="43" s="1"/>
  <c r="AF108" i="43" s="1"/>
  <c r="AG108" i="43" s="1"/>
  <c r="AH108" i="43" s="1"/>
  <c r="AI108" i="43" s="1"/>
  <c r="AJ108" i="43" s="1"/>
  <c r="AK108" i="43" s="1"/>
  <c r="AL108" i="43" s="1"/>
  <c r="AM108" i="43" s="1"/>
  <c r="AN108" i="43" s="1"/>
  <c r="AO108" i="43" s="1"/>
  <c r="AP108" i="43" s="1"/>
  <c r="AQ108" i="43" s="1"/>
  <c r="AR108" i="43" s="1"/>
  <c r="AS108" i="43" s="1"/>
  <c r="AT108" i="43" s="1"/>
  <c r="AU108" i="43" s="1"/>
  <c r="AV108" i="43" s="1"/>
  <c r="P109" i="43"/>
  <c r="Q109" i="43"/>
  <c r="R109" i="43" s="1"/>
  <c r="S109" i="43" s="1"/>
  <c r="T109" i="43" s="1"/>
  <c r="U109" i="43" s="1"/>
  <c r="V109" i="43" s="1"/>
  <c r="W109" i="43" s="1"/>
  <c r="X109" i="43" s="1"/>
  <c r="Y109" i="43" s="1"/>
  <c r="Z109" i="43" s="1"/>
  <c r="AA109" i="43" s="1"/>
  <c r="AB109" i="43" s="1"/>
  <c r="AC109" i="43" s="1"/>
  <c r="AD109" i="43" s="1"/>
  <c r="AE109" i="43" s="1"/>
  <c r="AF109" i="43" s="1"/>
  <c r="AG109" i="43" s="1"/>
  <c r="AH109" i="43" s="1"/>
  <c r="AI109" i="43" s="1"/>
  <c r="AJ109" i="43" s="1"/>
  <c r="AK109" i="43" s="1"/>
  <c r="AL109" i="43" s="1"/>
  <c r="AM109" i="43" s="1"/>
  <c r="AN109" i="43" s="1"/>
  <c r="AO109" i="43" s="1"/>
  <c r="AP109" i="43" s="1"/>
  <c r="AQ109" i="43" s="1"/>
  <c r="AR109" i="43" s="1"/>
  <c r="AS109" i="43" s="1"/>
  <c r="AT109" i="43" s="1"/>
  <c r="AU109" i="43" s="1"/>
  <c r="AV109" i="43" s="1"/>
  <c r="P110" i="43"/>
  <c r="Q110" i="43" s="1"/>
  <c r="R110" i="43" s="1"/>
  <c r="S110" i="43" s="1"/>
  <c r="T110" i="43" s="1"/>
  <c r="U110" i="43" s="1"/>
  <c r="V110" i="43" s="1"/>
  <c r="W110" i="43" s="1"/>
  <c r="X110" i="43" s="1"/>
  <c r="Y110" i="43" s="1"/>
  <c r="Z110" i="43" s="1"/>
  <c r="AA110" i="43" s="1"/>
  <c r="AB110" i="43" s="1"/>
  <c r="AC110" i="43" s="1"/>
  <c r="AD110" i="43" s="1"/>
  <c r="AE110" i="43" s="1"/>
  <c r="AF110" i="43" s="1"/>
  <c r="AG110" i="43" s="1"/>
  <c r="AH110" i="43" s="1"/>
  <c r="AI110" i="43" s="1"/>
  <c r="AJ110" i="43" s="1"/>
  <c r="AK110" i="43" s="1"/>
  <c r="AL110" i="43" s="1"/>
  <c r="AM110" i="43" s="1"/>
  <c r="AN110" i="43" s="1"/>
  <c r="AO110" i="43" s="1"/>
  <c r="AP110" i="43" s="1"/>
  <c r="AQ110" i="43" s="1"/>
  <c r="AR110" i="43" s="1"/>
  <c r="AS110" i="43" s="1"/>
  <c r="AT110" i="43" s="1"/>
  <c r="AU110" i="43" s="1"/>
  <c r="AV110" i="43" s="1"/>
  <c r="P111" i="43"/>
  <c r="Q111" i="43" s="1"/>
  <c r="R111" i="43" s="1"/>
  <c r="S111" i="43"/>
  <c r="T111" i="43" s="1"/>
  <c r="U111" i="43" s="1"/>
  <c r="V111" i="43" s="1"/>
  <c r="W111" i="43"/>
  <c r="X111" i="43" s="1"/>
  <c r="Y111" i="43" s="1"/>
  <c r="Z111" i="43" s="1"/>
  <c r="AA111" i="43"/>
  <c r="AB111" i="43" s="1"/>
  <c r="AC111" i="43" s="1"/>
  <c r="AD111" i="43" s="1"/>
  <c r="AE111" i="43" s="1"/>
  <c r="AF111" i="43" s="1"/>
  <c r="AG111" i="43" s="1"/>
  <c r="AH111" i="43" s="1"/>
  <c r="AI111" i="43" s="1"/>
  <c r="AJ111" i="43" s="1"/>
  <c r="AK111" i="43" s="1"/>
  <c r="AL111" i="43" s="1"/>
  <c r="AM111" i="43" s="1"/>
  <c r="AN111" i="43" s="1"/>
  <c r="AO111" i="43" s="1"/>
  <c r="AP111" i="43" s="1"/>
  <c r="AQ111" i="43" s="1"/>
  <c r="AR111" i="43" s="1"/>
  <c r="AS111" i="43" s="1"/>
  <c r="AT111" i="43" s="1"/>
  <c r="AU111" i="43" s="1"/>
  <c r="AV111" i="43" s="1"/>
  <c r="P112" i="43"/>
  <c r="Q112" i="43"/>
  <c r="R112" i="43"/>
  <c r="S112" i="43" s="1"/>
  <c r="T112" i="43" s="1"/>
  <c r="U112" i="43" s="1"/>
  <c r="V112" i="43" s="1"/>
  <c r="W112" i="43" s="1"/>
  <c r="X112" i="43" s="1"/>
  <c r="Y112" i="43" s="1"/>
  <c r="Z112" i="43" s="1"/>
  <c r="AA112" i="43" s="1"/>
  <c r="AB112" i="43" s="1"/>
  <c r="AC112" i="43" s="1"/>
  <c r="AD112" i="43" s="1"/>
  <c r="AE112" i="43" s="1"/>
  <c r="AF112" i="43" s="1"/>
  <c r="AG112" i="43" s="1"/>
  <c r="AH112" i="43" s="1"/>
  <c r="AI112" i="43" s="1"/>
  <c r="AJ112" i="43" s="1"/>
  <c r="AK112" i="43" s="1"/>
  <c r="AL112" i="43" s="1"/>
  <c r="AM112" i="43" s="1"/>
  <c r="AN112" i="43" s="1"/>
  <c r="AO112" i="43" s="1"/>
  <c r="AP112" i="43" s="1"/>
  <c r="AQ112" i="43" s="1"/>
  <c r="AR112" i="43" s="1"/>
  <c r="AS112" i="43" s="1"/>
  <c r="AT112" i="43" s="1"/>
  <c r="AU112" i="43" s="1"/>
  <c r="AV112" i="43" s="1"/>
  <c r="P113" i="43"/>
  <c r="Q113" i="43"/>
  <c r="R113" i="43" s="1"/>
  <c r="S113" i="43" s="1"/>
  <c r="T113" i="43" s="1"/>
  <c r="U113" i="43"/>
  <c r="V113" i="43" s="1"/>
  <c r="W113" i="43" s="1"/>
  <c r="X113" i="43" s="1"/>
  <c r="Y113" i="43"/>
  <c r="Z113" i="43" s="1"/>
  <c r="AA113" i="43" s="1"/>
  <c r="AB113" i="43" s="1"/>
  <c r="AC113" i="43"/>
  <c r="AD113" i="43" s="1"/>
  <c r="AE113" i="43" s="1"/>
  <c r="AF113" i="43" s="1"/>
  <c r="AG113" i="43" s="1"/>
  <c r="AH113" i="43" s="1"/>
  <c r="AI113" i="43" s="1"/>
  <c r="AJ113" i="43" s="1"/>
  <c r="AK113" i="43" s="1"/>
  <c r="AL113" i="43" s="1"/>
  <c r="AM113" i="43" s="1"/>
  <c r="AN113" i="43" s="1"/>
  <c r="AO113" i="43" s="1"/>
  <c r="AP113" i="43" s="1"/>
  <c r="AQ113" i="43" s="1"/>
  <c r="AR113" i="43" s="1"/>
  <c r="AS113" i="43" s="1"/>
  <c r="AT113" i="43" s="1"/>
  <c r="AU113" i="43" s="1"/>
  <c r="AV113" i="43" s="1"/>
  <c r="P114" i="43"/>
  <c r="Q114" i="43" s="1"/>
  <c r="R114" i="43" s="1"/>
  <c r="S114" i="43" s="1"/>
  <c r="T114" i="43"/>
  <c r="U114" i="43" s="1"/>
  <c r="V114" i="43" s="1"/>
  <c r="W114" i="43" s="1"/>
  <c r="X114" i="43"/>
  <c r="Y114" i="43" s="1"/>
  <c r="Z114" i="43" s="1"/>
  <c r="AA114" i="43" s="1"/>
  <c r="AB114" i="43"/>
  <c r="AC114" i="43" s="1"/>
  <c r="AD114" i="43" s="1"/>
  <c r="AE114" i="43" s="1"/>
  <c r="AF114" i="43" s="1"/>
  <c r="AG114" i="43" s="1"/>
  <c r="AH114" i="43" s="1"/>
  <c r="AI114" i="43" s="1"/>
  <c r="AJ114" i="43" s="1"/>
  <c r="AK114" i="43" s="1"/>
  <c r="AL114" i="43" s="1"/>
  <c r="AM114" i="43" s="1"/>
  <c r="AN114" i="43" s="1"/>
  <c r="AO114" i="43" s="1"/>
  <c r="AP114" i="43" s="1"/>
  <c r="AQ114" i="43" s="1"/>
  <c r="AR114" i="43" s="1"/>
  <c r="AS114" i="43" s="1"/>
  <c r="AT114" i="43" s="1"/>
  <c r="AU114" i="43" s="1"/>
  <c r="AV114" i="43" s="1"/>
  <c r="P115" i="43"/>
  <c r="Q115" i="43" s="1"/>
  <c r="R115" i="43" s="1"/>
  <c r="S115" i="43"/>
  <c r="T115" i="43" s="1"/>
  <c r="U115" i="43" s="1"/>
  <c r="V115" i="43" s="1"/>
  <c r="W115" i="43"/>
  <c r="X115" i="43" s="1"/>
  <c r="Y115" i="43" s="1"/>
  <c r="Z115" i="43" s="1"/>
  <c r="AA115" i="43" s="1"/>
  <c r="AB115" i="43" s="1"/>
  <c r="AC115" i="43" s="1"/>
  <c r="AD115" i="43" s="1"/>
  <c r="AE115" i="43" s="1"/>
  <c r="AF115" i="43" s="1"/>
  <c r="AG115" i="43" s="1"/>
  <c r="AH115" i="43" s="1"/>
  <c r="AI115" i="43" s="1"/>
  <c r="AJ115" i="43" s="1"/>
  <c r="AK115" i="43" s="1"/>
  <c r="AL115" i="43" s="1"/>
  <c r="AM115" i="43" s="1"/>
  <c r="AN115" i="43" s="1"/>
  <c r="AO115" i="43" s="1"/>
  <c r="AP115" i="43" s="1"/>
  <c r="AQ115" i="43" s="1"/>
  <c r="AR115" i="43" s="1"/>
  <c r="AS115" i="43" s="1"/>
  <c r="AT115" i="43" s="1"/>
  <c r="AU115" i="43" s="1"/>
  <c r="AV115" i="43" s="1"/>
  <c r="P116" i="43"/>
  <c r="Q116" i="43"/>
  <c r="R116" i="43"/>
  <c r="S116" i="43" s="1"/>
  <c r="T116" i="43" s="1"/>
  <c r="U116" i="43" s="1"/>
  <c r="V116" i="43"/>
  <c r="W116" i="43" s="1"/>
  <c r="X116" i="43" s="1"/>
  <c r="Y116" i="43" s="1"/>
  <c r="Z116" i="43"/>
  <c r="AA116" i="43" s="1"/>
  <c r="AB116" i="43" s="1"/>
  <c r="AC116" i="43" s="1"/>
  <c r="AD116" i="43"/>
  <c r="AE116" i="43" s="1"/>
  <c r="AF116" i="43" s="1"/>
  <c r="AG116" i="43" s="1"/>
  <c r="AH116" i="43" s="1"/>
  <c r="AI116" i="43" s="1"/>
  <c r="AJ116" i="43" s="1"/>
  <c r="AK116" i="43" s="1"/>
  <c r="AL116" i="43" s="1"/>
  <c r="AM116" i="43" s="1"/>
  <c r="AN116" i="43" s="1"/>
  <c r="AO116" i="43" s="1"/>
  <c r="AP116" i="43" s="1"/>
  <c r="AQ116" i="43" s="1"/>
  <c r="AR116" i="43" s="1"/>
  <c r="AS116" i="43" s="1"/>
  <c r="AT116" i="43" s="1"/>
  <c r="AU116" i="43" s="1"/>
  <c r="AV116" i="43" s="1"/>
  <c r="P117" i="43"/>
  <c r="Q117" i="43"/>
  <c r="R117" i="43" s="1"/>
  <c r="S117" i="43" s="1"/>
  <c r="T117" i="43" s="1"/>
  <c r="U117" i="43"/>
  <c r="V117" i="43" s="1"/>
  <c r="W117" i="43" s="1"/>
  <c r="X117" i="43" s="1"/>
  <c r="Y117" i="43"/>
  <c r="Z117" i="43" s="1"/>
  <c r="AA117" i="43" s="1"/>
  <c r="AB117" i="43" s="1"/>
  <c r="AC117" i="43" s="1"/>
  <c r="AD117" i="43" s="1"/>
  <c r="AE117" i="43" s="1"/>
  <c r="AF117" i="43" s="1"/>
  <c r="AG117" i="43" s="1"/>
  <c r="AH117" i="43" s="1"/>
  <c r="AI117" i="43" s="1"/>
  <c r="AJ117" i="43" s="1"/>
  <c r="AK117" i="43" s="1"/>
  <c r="AL117" i="43" s="1"/>
  <c r="AM117" i="43" s="1"/>
  <c r="AN117" i="43" s="1"/>
  <c r="AO117" i="43" s="1"/>
  <c r="AP117" i="43" s="1"/>
  <c r="AQ117" i="43" s="1"/>
  <c r="AR117" i="43" s="1"/>
  <c r="AS117" i="43" s="1"/>
  <c r="AT117" i="43" s="1"/>
  <c r="AU117" i="43" s="1"/>
  <c r="AV117" i="43" s="1"/>
  <c r="P118" i="43"/>
  <c r="Q118" i="43" s="1"/>
  <c r="R118" i="43" s="1"/>
  <c r="S118" i="43" s="1"/>
  <c r="T118" i="43"/>
  <c r="U118" i="43" s="1"/>
  <c r="V118" i="43" s="1"/>
  <c r="W118" i="43" s="1"/>
  <c r="X118" i="43"/>
  <c r="Y118" i="43" s="1"/>
  <c r="Z118" i="43" s="1"/>
  <c r="AA118" i="43" s="1"/>
  <c r="AB118" i="43" s="1"/>
  <c r="AC118" i="43" s="1"/>
  <c r="AD118" i="43" s="1"/>
  <c r="AE118" i="43" s="1"/>
  <c r="AF118" i="43" s="1"/>
  <c r="AG118" i="43" s="1"/>
  <c r="AH118" i="43" s="1"/>
  <c r="AI118" i="43" s="1"/>
  <c r="AJ118" i="43" s="1"/>
  <c r="AK118" i="43" s="1"/>
  <c r="AL118" i="43" s="1"/>
  <c r="AM118" i="43" s="1"/>
  <c r="AN118" i="43" s="1"/>
  <c r="AO118" i="43" s="1"/>
  <c r="AP118" i="43" s="1"/>
  <c r="AQ118" i="43" s="1"/>
  <c r="AR118" i="43" s="1"/>
  <c r="AS118" i="43" s="1"/>
  <c r="AT118" i="43" s="1"/>
  <c r="AU118" i="43" s="1"/>
  <c r="AV118" i="43" s="1"/>
  <c r="P119" i="43"/>
  <c r="Q119" i="43" s="1"/>
  <c r="R119" i="43" s="1"/>
  <c r="S119" i="43"/>
  <c r="T119" i="43" s="1"/>
  <c r="U119" i="43" s="1"/>
  <c r="V119" i="43" s="1"/>
  <c r="W119" i="43" s="1"/>
  <c r="X119" i="43" s="1"/>
  <c r="Y119" i="43" s="1"/>
  <c r="Z119" i="43" s="1"/>
  <c r="AA119" i="43" s="1"/>
  <c r="AB119" i="43" s="1"/>
  <c r="AC119" i="43" s="1"/>
  <c r="AD119" i="43" s="1"/>
  <c r="AE119" i="43" s="1"/>
  <c r="AF119" i="43" s="1"/>
  <c r="AG119" i="43" s="1"/>
  <c r="AH119" i="43" s="1"/>
  <c r="AI119" i="43" s="1"/>
  <c r="AJ119" i="43" s="1"/>
  <c r="AK119" i="43" s="1"/>
  <c r="AL119" i="43" s="1"/>
  <c r="AM119" i="43" s="1"/>
  <c r="AN119" i="43" s="1"/>
  <c r="AO119" i="43" s="1"/>
  <c r="AP119" i="43" s="1"/>
  <c r="AQ119" i="43" s="1"/>
  <c r="AR119" i="43" s="1"/>
  <c r="AS119" i="43" s="1"/>
  <c r="AT119" i="43" s="1"/>
  <c r="AU119" i="43" s="1"/>
  <c r="AV119" i="43" s="1"/>
  <c r="P120" i="43"/>
  <c r="Q120" i="43"/>
  <c r="R120" i="43"/>
  <c r="S120" i="43" s="1"/>
  <c r="T120" i="43" s="1"/>
  <c r="U120" i="43" s="1"/>
  <c r="V120" i="43"/>
  <c r="W120" i="43" s="1"/>
  <c r="X120" i="43" s="1"/>
  <c r="Y120" i="43" s="1"/>
  <c r="Z120" i="43"/>
  <c r="AA120" i="43" s="1"/>
  <c r="AB120" i="43" s="1"/>
  <c r="AC120" i="43" s="1"/>
  <c r="AD120" i="43" s="1"/>
  <c r="AE120" i="43" s="1"/>
  <c r="AF120" i="43" s="1"/>
  <c r="AG120" i="43" s="1"/>
  <c r="AH120" i="43" s="1"/>
  <c r="AI120" i="43" s="1"/>
  <c r="AJ120" i="43" s="1"/>
  <c r="AK120" i="43" s="1"/>
  <c r="AL120" i="43" s="1"/>
  <c r="AM120" i="43" s="1"/>
  <c r="AN120" i="43" s="1"/>
  <c r="AO120" i="43" s="1"/>
  <c r="AP120" i="43" s="1"/>
  <c r="AQ120" i="43" s="1"/>
  <c r="AR120" i="43" s="1"/>
  <c r="AS120" i="43" s="1"/>
  <c r="AT120" i="43" s="1"/>
  <c r="AU120" i="43" s="1"/>
  <c r="AV120" i="43" s="1"/>
  <c r="P121" i="43"/>
  <c r="Q121" i="43"/>
  <c r="R121" i="43" s="1"/>
  <c r="S121" i="43" s="1"/>
  <c r="T121" i="43" s="1"/>
  <c r="U121" i="43"/>
  <c r="V121" i="43" s="1"/>
  <c r="W121" i="43" s="1"/>
  <c r="X121" i="43" s="1"/>
  <c r="Y121" i="43" s="1"/>
  <c r="Z121" i="43" s="1"/>
  <c r="AA121" i="43" s="1"/>
  <c r="AB121" i="43" s="1"/>
  <c r="AC121" i="43" s="1"/>
  <c r="AD121" i="43" s="1"/>
  <c r="AE121" i="43" s="1"/>
  <c r="AF121" i="43" s="1"/>
  <c r="AG121" i="43" s="1"/>
  <c r="AH121" i="43" s="1"/>
  <c r="AI121" i="43" s="1"/>
  <c r="AJ121" i="43" s="1"/>
  <c r="AK121" i="43" s="1"/>
  <c r="AL121" i="43" s="1"/>
  <c r="AM121" i="43" s="1"/>
  <c r="AN121" i="43" s="1"/>
  <c r="AO121" i="43" s="1"/>
  <c r="AP121" i="43" s="1"/>
  <c r="AQ121" i="43" s="1"/>
  <c r="AR121" i="43" s="1"/>
  <c r="AS121" i="43" s="1"/>
  <c r="AT121" i="43" s="1"/>
  <c r="AU121" i="43" s="1"/>
  <c r="AV121" i="43" s="1"/>
  <c r="P122" i="43"/>
  <c r="Q122" i="43" s="1"/>
  <c r="R122" i="43" s="1"/>
  <c r="S122" i="43" s="1"/>
  <c r="T122" i="43"/>
  <c r="U122" i="43" s="1"/>
  <c r="V122" i="43" s="1"/>
  <c r="W122" i="43" s="1"/>
  <c r="X122" i="43" s="1"/>
  <c r="Y122" i="43" s="1"/>
  <c r="Z122" i="43" s="1"/>
  <c r="AA122" i="43" s="1"/>
  <c r="AB122" i="43" s="1"/>
  <c r="AC122" i="43" s="1"/>
  <c r="AD122" i="43" s="1"/>
  <c r="AE122" i="43" s="1"/>
  <c r="AF122" i="43" s="1"/>
  <c r="AG122" i="43" s="1"/>
  <c r="AH122" i="43" s="1"/>
  <c r="AI122" i="43" s="1"/>
  <c r="AJ122" i="43" s="1"/>
  <c r="AK122" i="43" s="1"/>
  <c r="AL122" i="43" s="1"/>
  <c r="AM122" i="43" s="1"/>
  <c r="AN122" i="43" s="1"/>
  <c r="AO122" i="43" s="1"/>
  <c r="AP122" i="43" s="1"/>
  <c r="AQ122" i="43" s="1"/>
  <c r="AR122" i="43" s="1"/>
  <c r="AS122" i="43" s="1"/>
  <c r="AT122" i="43" s="1"/>
  <c r="AU122" i="43" s="1"/>
  <c r="AV122" i="43" s="1"/>
  <c r="P123" i="43"/>
  <c r="Q123" i="43" s="1"/>
  <c r="R123" i="43" s="1"/>
  <c r="S123" i="43" s="1"/>
  <c r="T123" i="43" s="1"/>
  <c r="U123" i="43" s="1"/>
  <c r="V123" i="43" s="1"/>
  <c r="W123" i="43" s="1"/>
  <c r="X123" i="43" s="1"/>
  <c r="Y123" i="43" s="1"/>
  <c r="Z123" i="43" s="1"/>
  <c r="AA123" i="43" s="1"/>
  <c r="AB123" i="43" s="1"/>
  <c r="AC123" i="43" s="1"/>
  <c r="AD123" i="43" s="1"/>
  <c r="AE123" i="43" s="1"/>
  <c r="AF123" i="43" s="1"/>
  <c r="AG123" i="43" s="1"/>
  <c r="AH123" i="43" s="1"/>
  <c r="AI123" i="43" s="1"/>
  <c r="AJ123" i="43" s="1"/>
  <c r="AK123" i="43" s="1"/>
  <c r="AL123" i="43" s="1"/>
  <c r="AM123" i="43" s="1"/>
  <c r="AN123" i="43" s="1"/>
  <c r="AO123" i="43" s="1"/>
  <c r="AP123" i="43" s="1"/>
  <c r="AQ123" i="43" s="1"/>
  <c r="AR123" i="43" s="1"/>
  <c r="AS123" i="43" s="1"/>
  <c r="AT123" i="43" s="1"/>
  <c r="AU123" i="43" s="1"/>
  <c r="AV123" i="43" s="1"/>
  <c r="P124" i="43"/>
  <c r="Q124" i="43"/>
  <c r="R124" i="43"/>
  <c r="S124" i="43" s="1"/>
  <c r="T124" i="43" s="1"/>
  <c r="U124" i="43" s="1"/>
  <c r="V124" i="43"/>
  <c r="W124" i="43" s="1"/>
  <c r="X124" i="43" s="1"/>
  <c r="Y124" i="43" s="1"/>
  <c r="Z124" i="43" s="1"/>
  <c r="AA124" i="43" s="1"/>
  <c r="AB124" i="43" s="1"/>
  <c r="AC124" i="43" s="1"/>
  <c r="AD124" i="43" s="1"/>
  <c r="AE124" i="43" s="1"/>
  <c r="AF124" i="43" s="1"/>
  <c r="AG124" i="43" s="1"/>
  <c r="AH124" i="43" s="1"/>
  <c r="AI124" i="43" s="1"/>
  <c r="AJ124" i="43" s="1"/>
  <c r="AK124" i="43" s="1"/>
  <c r="AL124" i="43" s="1"/>
  <c r="AM124" i="43" s="1"/>
  <c r="AN124" i="43" s="1"/>
  <c r="AO124" i="43" s="1"/>
  <c r="AP124" i="43" s="1"/>
  <c r="AQ124" i="43" s="1"/>
  <c r="AR124" i="43" s="1"/>
  <c r="AS124" i="43" s="1"/>
  <c r="AT124" i="43" s="1"/>
  <c r="AU124" i="43" s="1"/>
  <c r="AV124" i="43" s="1"/>
  <c r="P125" i="43"/>
  <c r="Q125" i="43"/>
  <c r="R125" i="43" s="1"/>
  <c r="S125" i="43" s="1"/>
  <c r="T125" i="43" s="1"/>
  <c r="U125" i="43" s="1"/>
  <c r="V125" i="43" s="1"/>
  <c r="W125" i="43" s="1"/>
  <c r="X125" i="43" s="1"/>
  <c r="Y125" i="43" s="1"/>
  <c r="Z125" i="43" s="1"/>
  <c r="AA125" i="43" s="1"/>
  <c r="AB125" i="43" s="1"/>
  <c r="AC125" i="43" s="1"/>
  <c r="AD125" i="43" s="1"/>
  <c r="AE125" i="43" s="1"/>
  <c r="AF125" i="43" s="1"/>
  <c r="AG125" i="43" s="1"/>
  <c r="AH125" i="43" s="1"/>
  <c r="AI125" i="43" s="1"/>
  <c r="AJ125" i="43" s="1"/>
  <c r="AK125" i="43" s="1"/>
  <c r="AL125" i="43" s="1"/>
  <c r="AM125" i="43" s="1"/>
  <c r="AN125" i="43" s="1"/>
  <c r="AO125" i="43" s="1"/>
  <c r="AP125" i="43" s="1"/>
  <c r="AQ125" i="43" s="1"/>
  <c r="AR125" i="43" s="1"/>
  <c r="AS125" i="43" s="1"/>
  <c r="AT125" i="43" s="1"/>
  <c r="AU125" i="43" s="1"/>
  <c r="AV125" i="43" s="1"/>
  <c r="P126" i="43"/>
  <c r="Q126" i="43" s="1"/>
  <c r="R126" i="43" s="1"/>
  <c r="S126" i="43" s="1"/>
  <c r="T126" i="43" s="1"/>
  <c r="U126" i="43" s="1"/>
  <c r="V126" i="43" s="1"/>
  <c r="W126" i="43" s="1"/>
  <c r="X126" i="43" s="1"/>
  <c r="Y126" i="43" s="1"/>
  <c r="Z126" i="43" s="1"/>
  <c r="AA126" i="43" s="1"/>
  <c r="AB126" i="43" s="1"/>
  <c r="AC126" i="43" s="1"/>
  <c r="AD126" i="43" s="1"/>
  <c r="AE126" i="43" s="1"/>
  <c r="AF126" i="43" s="1"/>
  <c r="AG126" i="43" s="1"/>
  <c r="AH126" i="43" s="1"/>
  <c r="AI126" i="43" s="1"/>
  <c r="AJ126" i="43" s="1"/>
  <c r="AK126" i="43" s="1"/>
  <c r="AL126" i="43" s="1"/>
  <c r="AM126" i="43" s="1"/>
  <c r="AN126" i="43" s="1"/>
  <c r="AO126" i="43" s="1"/>
  <c r="AP126" i="43" s="1"/>
  <c r="AQ126" i="43" s="1"/>
  <c r="AR126" i="43" s="1"/>
  <c r="AS126" i="43" s="1"/>
  <c r="AT126" i="43" s="1"/>
  <c r="AU126" i="43" s="1"/>
  <c r="AV126" i="43" s="1"/>
  <c r="P127" i="43"/>
  <c r="Q127" i="43" s="1"/>
  <c r="R127" i="43" s="1"/>
  <c r="S127" i="43"/>
  <c r="T127" i="43" s="1"/>
  <c r="U127" i="43" s="1"/>
  <c r="V127" i="43" s="1"/>
  <c r="W127" i="43"/>
  <c r="X127" i="43" s="1"/>
  <c r="Y127" i="43" s="1"/>
  <c r="Z127" i="43" s="1"/>
  <c r="AA127" i="43"/>
  <c r="AB127" i="43" s="1"/>
  <c r="AC127" i="43" s="1"/>
  <c r="AD127" i="43" s="1"/>
  <c r="AE127" i="43" s="1"/>
  <c r="AF127" i="43" s="1"/>
  <c r="AG127" i="43" s="1"/>
  <c r="AH127" i="43" s="1"/>
  <c r="AI127" i="43" s="1"/>
  <c r="AJ127" i="43" s="1"/>
  <c r="AK127" i="43" s="1"/>
  <c r="AL127" i="43" s="1"/>
  <c r="AM127" i="43" s="1"/>
  <c r="AN127" i="43" s="1"/>
  <c r="AO127" i="43" s="1"/>
  <c r="AP127" i="43" s="1"/>
  <c r="AQ127" i="43" s="1"/>
  <c r="AR127" i="43" s="1"/>
  <c r="AS127" i="43" s="1"/>
  <c r="AT127" i="43" s="1"/>
  <c r="AU127" i="43" s="1"/>
  <c r="AV127" i="43" s="1"/>
  <c r="P128" i="43"/>
  <c r="Q128" i="43"/>
  <c r="R128" i="43"/>
  <c r="S128" i="43" s="1"/>
  <c r="T128" i="43" s="1"/>
  <c r="U128" i="43" s="1"/>
  <c r="V128" i="43" s="1"/>
  <c r="W128" i="43" s="1"/>
  <c r="X128" i="43" s="1"/>
  <c r="Y128" i="43" s="1"/>
  <c r="Z128" i="43" s="1"/>
  <c r="AA128" i="43" s="1"/>
  <c r="AB128" i="43" s="1"/>
  <c r="AC128" i="43" s="1"/>
  <c r="AD128" i="43" s="1"/>
  <c r="AE128" i="43" s="1"/>
  <c r="AF128" i="43" s="1"/>
  <c r="AG128" i="43" s="1"/>
  <c r="AH128" i="43" s="1"/>
  <c r="AI128" i="43" s="1"/>
  <c r="AJ128" i="43" s="1"/>
  <c r="AK128" i="43" s="1"/>
  <c r="AL128" i="43" s="1"/>
  <c r="AM128" i="43" s="1"/>
  <c r="AN128" i="43" s="1"/>
  <c r="AO128" i="43" s="1"/>
  <c r="AP128" i="43" s="1"/>
  <c r="AQ128" i="43" s="1"/>
  <c r="AR128" i="43" s="1"/>
  <c r="AS128" i="43" s="1"/>
  <c r="AT128" i="43" s="1"/>
  <c r="AU128" i="43" s="1"/>
  <c r="AV128" i="43" s="1"/>
  <c r="P129" i="43"/>
  <c r="Q129" i="43"/>
  <c r="R129" i="43" s="1"/>
  <c r="S129" i="43" s="1"/>
  <c r="T129" i="43" s="1"/>
  <c r="U129" i="43"/>
  <c r="V129" i="43" s="1"/>
  <c r="W129" i="43" s="1"/>
  <c r="X129" i="43" s="1"/>
  <c r="Y129" i="43"/>
  <c r="Z129" i="43" s="1"/>
  <c r="AA129" i="43" s="1"/>
  <c r="AB129" i="43" s="1"/>
  <c r="AC129" i="43"/>
  <c r="AD129" i="43" s="1"/>
  <c r="AE129" i="43" s="1"/>
  <c r="AF129" i="43" s="1"/>
  <c r="AG129" i="43" s="1"/>
  <c r="AH129" i="43" s="1"/>
  <c r="AI129" i="43" s="1"/>
  <c r="AJ129" i="43" s="1"/>
  <c r="AK129" i="43" s="1"/>
  <c r="AL129" i="43" s="1"/>
  <c r="AM129" i="43" s="1"/>
  <c r="AN129" i="43" s="1"/>
  <c r="AO129" i="43" s="1"/>
  <c r="AP129" i="43" s="1"/>
  <c r="AQ129" i="43" s="1"/>
  <c r="AR129" i="43" s="1"/>
  <c r="AS129" i="43" s="1"/>
  <c r="AT129" i="43" s="1"/>
  <c r="AU129" i="43" s="1"/>
  <c r="AV129" i="43" s="1"/>
  <c r="P130" i="43"/>
  <c r="Q130" i="43" s="1"/>
  <c r="R130" i="43" s="1"/>
  <c r="S130" i="43" s="1"/>
  <c r="T130" i="43"/>
  <c r="U130" i="43" s="1"/>
  <c r="V130" i="43" s="1"/>
  <c r="W130" i="43" s="1"/>
  <c r="X130" i="43"/>
  <c r="Y130" i="43" s="1"/>
  <c r="Z130" i="43" s="1"/>
  <c r="AA130" i="43" s="1"/>
  <c r="AB130" i="43"/>
  <c r="AC130" i="43" s="1"/>
  <c r="AD130" i="43" s="1"/>
  <c r="AE130" i="43" s="1"/>
  <c r="AF130" i="43" s="1"/>
  <c r="AG130" i="43" s="1"/>
  <c r="AH130" i="43" s="1"/>
  <c r="AI130" i="43" s="1"/>
  <c r="AJ130" i="43" s="1"/>
  <c r="AK130" i="43" s="1"/>
  <c r="AL130" i="43" s="1"/>
  <c r="AM130" i="43" s="1"/>
  <c r="AN130" i="43" s="1"/>
  <c r="AO130" i="43" s="1"/>
  <c r="AP130" i="43" s="1"/>
  <c r="AQ130" i="43" s="1"/>
  <c r="AR130" i="43" s="1"/>
  <c r="AS130" i="43" s="1"/>
  <c r="AT130" i="43" s="1"/>
  <c r="AU130" i="43" s="1"/>
  <c r="AV130" i="43" s="1"/>
  <c r="P131" i="43"/>
  <c r="Q131" i="43" s="1"/>
  <c r="R131" i="43" s="1"/>
  <c r="S131" i="43"/>
  <c r="T131" i="43" s="1"/>
  <c r="U131" i="43" s="1"/>
  <c r="V131" i="43" s="1"/>
  <c r="W131" i="43"/>
  <c r="X131" i="43" s="1"/>
  <c r="Y131" i="43" s="1"/>
  <c r="Z131" i="43" s="1"/>
  <c r="AA131" i="43" s="1"/>
  <c r="AB131" i="43" s="1"/>
  <c r="AC131" i="43" s="1"/>
  <c r="AD131" i="43" s="1"/>
  <c r="AE131" i="43" s="1"/>
  <c r="AF131" i="43" s="1"/>
  <c r="AG131" i="43" s="1"/>
  <c r="AH131" i="43" s="1"/>
  <c r="AI131" i="43" s="1"/>
  <c r="AJ131" i="43" s="1"/>
  <c r="AK131" i="43" s="1"/>
  <c r="AL131" i="43" s="1"/>
  <c r="AM131" i="43" s="1"/>
  <c r="AN131" i="43" s="1"/>
  <c r="AO131" i="43" s="1"/>
  <c r="AP131" i="43" s="1"/>
  <c r="AQ131" i="43" s="1"/>
  <c r="AR131" i="43" s="1"/>
  <c r="AS131" i="43" s="1"/>
  <c r="AT131" i="43" s="1"/>
  <c r="AU131" i="43" s="1"/>
  <c r="AV131" i="43" s="1"/>
  <c r="P132" i="43"/>
  <c r="Q132" i="43"/>
  <c r="R132" i="43"/>
  <c r="S132" i="43" s="1"/>
  <c r="T132" i="43" s="1"/>
  <c r="U132" i="43" s="1"/>
  <c r="V132" i="43"/>
  <c r="W132" i="43" s="1"/>
  <c r="X132" i="43" s="1"/>
  <c r="Y132" i="43" s="1"/>
  <c r="Z132" i="43"/>
  <c r="AA132" i="43" s="1"/>
  <c r="AB132" i="43" s="1"/>
  <c r="AC132" i="43" s="1"/>
  <c r="AD132" i="43"/>
  <c r="AE132" i="43" s="1"/>
  <c r="AF132" i="43" s="1"/>
  <c r="AG132" i="43" s="1"/>
  <c r="AH132" i="43" s="1"/>
  <c r="AI132" i="43" s="1"/>
  <c r="AJ132" i="43" s="1"/>
  <c r="AK132" i="43" s="1"/>
  <c r="AL132" i="43" s="1"/>
  <c r="AM132" i="43" s="1"/>
  <c r="AN132" i="43" s="1"/>
  <c r="AO132" i="43" s="1"/>
  <c r="AP132" i="43" s="1"/>
  <c r="AQ132" i="43" s="1"/>
  <c r="AR132" i="43" s="1"/>
  <c r="AS132" i="43" s="1"/>
  <c r="AT132" i="43" s="1"/>
  <c r="AU132" i="43" s="1"/>
  <c r="AV132" i="43" s="1"/>
  <c r="P133" i="43"/>
  <c r="Q133" i="43"/>
  <c r="R133" i="43" s="1"/>
  <c r="S133" i="43" s="1"/>
  <c r="T133" i="43" s="1"/>
  <c r="U133" i="43"/>
  <c r="V133" i="43" s="1"/>
  <c r="W133" i="43" s="1"/>
  <c r="X133" i="43" s="1"/>
  <c r="Y133" i="43"/>
  <c r="Z133" i="43" s="1"/>
  <c r="AA133" i="43" s="1"/>
  <c r="AB133" i="43" s="1"/>
  <c r="AC133" i="43" s="1"/>
  <c r="AD133" i="43" s="1"/>
  <c r="AE133" i="43" s="1"/>
  <c r="AF133" i="43" s="1"/>
  <c r="AG133" i="43" s="1"/>
  <c r="AH133" i="43" s="1"/>
  <c r="AI133" i="43" s="1"/>
  <c r="AJ133" i="43" s="1"/>
  <c r="AK133" i="43" s="1"/>
  <c r="AL133" i="43" s="1"/>
  <c r="AM133" i="43" s="1"/>
  <c r="AN133" i="43" s="1"/>
  <c r="AO133" i="43" s="1"/>
  <c r="AP133" i="43" s="1"/>
  <c r="AQ133" i="43" s="1"/>
  <c r="AR133" i="43" s="1"/>
  <c r="AS133" i="43" s="1"/>
  <c r="AT133" i="43" s="1"/>
  <c r="AU133" i="43" s="1"/>
  <c r="AV133" i="43" s="1"/>
  <c r="P134" i="43"/>
  <c r="Q134" i="43" s="1"/>
  <c r="R134" i="43" s="1"/>
  <c r="S134" i="43" s="1"/>
  <c r="T134" i="43"/>
  <c r="U134" i="43" s="1"/>
  <c r="V134" i="43" s="1"/>
  <c r="W134" i="43" s="1"/>
  <c r="X134" i="43"/>
  <c r="Y134" i="43" s="1"/>
  <c r="Z134" i="43" s="1"/>
  <c r="AA134" i="43" s="1"/>
  <c r="AB134" i="43" s="1"/>
  <c r="AC134" i="43" s="1"/>
  <c r="AD134" i="43" s="1"/>
  <c r="AE134" i="43" s="1"/>
  <c r="AF134" i="43" s="1"/>
  <c r="AG134" i="43" s="1"/>
  <c r="AH134" i="43" s="1"/>
  <c r="AI134" i="43" s="1"/>
  <c r="AJ134" i="43" s="1"/>
  <c r="AK134" i="43" s="1"/>
  <c r="AL134" i="43" s="1"/>
  <c r="AM134" i="43" s="1"/>
  <c r="AN134" i="43" s="1"/>
  <c r="AO134" i="43" s="1"/>
  <c r="AP134" i="43" s="1"/>
  <c r="AQ134" i="43" s="1"/>
  <c r="AR134" i="43" s="1"/>
  <c r="AS134" i="43" s="1"/>
  <c r="AT134" i="43" s="1"/>
  <c r="AU134" i="43" s="1"/>
  <c r="AV134" i="43" s="1"/>
  <c r="P135" i="43"/>
  <c r="Q135" i="43" s="1"/>
  <c r="R135" i="43" s="1"/>
  <c r="S135" i="43"/>
  <c r="T135" i="43" s="1"/>
  <c r="U135" i="43" s="1"/>
  <c r="V135" i="43" s="1"/>
  <c r="W135" i="43" s="1"/>
  <c r="X135" i="43" s="1"/>
  <c r="Y135" i="43" s="1"/>
  <c r="Z135" i="43" s="1"/>
  <c r="AA135" i="43" s="1"/>
  <c r="AB135" i="43" s="1"/>
  <c r="AC135" i="43" s="1"/>
  <c r="AD135" i="43" s="1"/>
  <c r="AE135" i="43" s="1"/>
  <c r="AF135" i="43" s="1"/>
  <c r="AG135" i="43" s="1"/>
  <c r="AH135" i="43" s="1"/>
  <c r="AI135" i="43" s="1"/>
  <c r="AJ135" i="43" s="1"/>
  <c r="AK135" i="43" s="1"/>
  <c r="AL135" i="43" s="1"/>
  <c r="AM135" i="43" s="1"/>
  <c r="AN135" i="43" s="1"/>
  <c r="AO135" i="43" s="1"/>
  <c r="AP135" i="43" s="1"/>
  <c r="AQ135" i="43" s="1"/>
  <c r="AR135" i="43" s="1"/>
  <c r="AS135" i="43" s="1"/>
  <c r="AT135" i="43" s="1"/>
  <c r="AU135" i="43" s="1"/>
  <c r="AV135" i="43" s="1"/>
  <c r="P136" i="43"/>
  <c r="Q136" i="43"/>
  <c r="R136" i="43"/>
  <c r="S136" i="43" s="1"/>
  <c r="T136" i="43" s="1"/>
  <c r="U136" i="43" s="1"/>
  <c r="V136" i="43"/>
  <c r="W136" i="43" s="1"/>
  <c r="X136" i="43" s="1"/>
  <c r="Y136" i="43" s="1"/>
  <c r="Z136" i="43"/>
  <c r="AA136" i="43" s="1"/>
  <c r="AB136" i="43" s="1"/>
  <c r="AC136" i="43" s="1"/>
  <c r="AD136" i="43" s="1"/>
  <c r="AE136" i="43" s="1"/>
  <c r="AF136" i="43" s="1"/>
  <c r="AG136" i="43" s="1"/>
  <c r="AH136" i="43" s="1"/>
  <c r="AI136" i="43" s="1"/>
  <c r="AJ136" i="43" s="1"/>
  <c r="AK136" i="43" s="1"/>
  <c r="AL136" i="43" s="1"/>
  <c r="AM136" i="43" s="1"/>
  <c r="AN136" i="43" s="1"/>
  <c r="AO136" i="43" s="1"/>
  <c r="AP136" i="43" s="1"/>
  <c r="AQ136" i="43" s="1"/>
  <c r="AR136" i="43" s="1"/>
  <c r="AS136" i="43" s="1"/>
  <c r="AT136" i="43" s="1"/>
  <c r="AU136" i="43" s="1"/>
  <c r="AV136" i="43" s="1"/>
  <c r="P137" i="43"/>
  <c r="Q137" i="43"/>
  <c r="R137" i="43" s="1"/>
  <c r="S137" i="43" s="1"/>
  <c r="T137" i="43" s="1"/>
  <c r="U137" i="43"/>
  <c r="V137" i="43" s="1"/>
  <c r="W137" i="43" s="1"/>
  <c r="X137" i="43" s="1"/>
  <c r="Y137" i="43" s="1"/>
  <c r="Z137" i="43" s="1"/>
  <c r="AA137" i="43" s="1"/>
  <c r="AB137" i="43" s="1"/>
  <c r="AC137" i="43" s="1"/>
  <c r="AD137" i="43" s="1"/>
  <c r="AE137" i="43" s="1"/>
  <c r="AF137" i="43" s="1"/>
  <c r="AG137" i="43" s="1"/>
  <c r="AH137" i="43" s="1"/>
  <c r="AI137" i="43" s="1"/>
  <c r="AJ137" i="43" s="1"/>
  <c r="AK137" i="43" s="1"/>
  <c r="AL137" i="43" s="1"/>
  <c r="AM137" i="43" s="1"/>
  <c r="AN137" i="43" s="1"/>
  <c r="AO137" i="43" s="1"/>
  <c r="AP137" i="43" s="1"/>
  <c r="AQ137" i="43" s="1"/>
  <c r="AR137" i="43" s="1"/>
  <c r="AS137" i="43" s="1"/>
  <c r="AT137" i="43" s="1"/>
  <c r="AU137" i="43" s="1"/>
  <c r="AV137" i="43" s="1"/>
  <c r="P138" i="43"/>
  <c r="Q138" i="43" s="1"/>
  <c r="R138" i="43" s="1"/>
  <c r="S138" i="43"/>
  <c r="T138" i="43" s="1"/>
  <c r="U138" i="43" s="1"/>
  <c r="V138" i="43" s="1"/>
  <c r="W138" i="43" s="1"/>
  <c r="X138" i="43" s="1"/>
  <c r="Y138" i="43" s="1"/>
  <c r="Z138" i="43" s="1"/>
  <c r="AA138" i="43" s="1"/>
  <c r="AB138" i="43" s="1"/>
  <c r="AC138" i="43" s="1"/>
  <c r="AD138" i="43" s="1"/>
  <c r="AE138" i="43" s="1"/>
  <c r="AF138" i="43" s="1"/>
  <c r="AG138" i="43" s="1"/>
  <c r="AH138" i="43" s="1"/>
  <c r="AI138" i="43" s="1"/>
  <c r="AJ138" i="43" s="1"/>
  <c r="AK138" i="43" s="1"/>
  <c r="AL138" i="43" s="1"/>
  <c r="AM138" i="43" s="1"/>
  <c r="AN138" i="43" s="1"/>
  <c r="AO138" i="43" s="1"/>
  <c r="AP138" i="43" s="1"/>
  <c r="AQ138" i="43" s="1"/>
  <c r="AR138" i="43" s="1"/>
  <c r="AS138" i="43" s="1"/>
  <c r="AT138" i="43" s="1"/>
  <c r="AU138" i="43" s="1"/>
  <c r="AV138" i="43" s="1"/>
  <c r="P139" i="43"/>
  <c r="Q139" i="43" s="1"/>
  <c r="R139" i="43" s="1"/>
  <c r="S139" i="43" s="1"/>
  <c r="T139" i="43" s="1"/>
  <c r="U139" i="43" s="1"/>
  <c r="V139" i="43" s="1"/>
  <c r="W139" i="43" s="1"/>
  <c r="X139" i="43" s="1"/>
  <c r="Y139" i="43" s="1"/>
  <c r="Z139" i="43" s="1"/>
  <c r="AA139" i="43" s="1"/>
  <c r="AB139" i="43" s="1"/>
  <c r="AC139" i="43" s="1"/>
  <c r="AD139" i="43" s="1"/>
  <c r="AE139" i="43" s="1"/>
  <c r="AF139" i="43" s="1"/>
  <c r="AG139" i="43" s="1"/>
  <c r="AH139" i="43" s="1"/>
  <c r="AI139" i="43" s="1"/>
  <c r="AJ139" i="43" s="1"/>
  <c r="AK139" i="43" s="1"/>
  <c r="AL139" i="43" s="1"/>
  <c r="AM139" i="43" s="1"/>
  <c r="AN139" i="43" s="1"/>
  <c r="AO139" i="43" s="1"/>
  <c r="AP139" i="43" s="1"/>
  <c r="AQ139" i="43" s="1"/>
  <c r="AR139" i="43" s="1"/>
  <c r="AS139" i="43" s="1"/>
  <c r="AT139" i="43" s="1"/>
  <c r="AU139" i="43" s="1"/>
  <c r="AV139" i="43" s="1"/>
  <c r="P140" i="43"/>
  <c r="Q140" i="43"/>
  <c r="R140" i="43"/>
  <c r="S140" i="43"/>
  <c r="T140" i="43" s="1"/>
  <c r="U140" i="43" s="1"/>
  <c r="V140" i="43" s="1"/>
  <c r="W140" i="43" s="1"/>
  <c r="X140" i="43" s="1"/>
  <c r="Y140" i="43" s="1"/>
  <c r="Z140" i="43" s="1"/>
  <c r="AA140" i="43" s="1"/>
  <c r="AB140" i="43" s="1"/>
  <c r="AC140" i="43" s="1"/>
  <c r="AD140" i="43" s="1"/>
  <c r="AE140" i="43" s="1"/>
  <c r="AF140" i="43" s="1"/>
  <c r="AG140" i="43" s="1"/>
  <c r="AH140" i="43" s="1"/>
  <c r="AI140" i="43" s="1"/>
  <c r="AJ140" i="43" s="1"/>
  <c r="AK140" i="43" s="1"/>
  <c r="AL140" i="43" s="1"/>
  <c r="AM140" i="43" s="1"/>
  <c r="AN140" i="43" s="1"/>
  <c r="AO140" i="43" s="1"/>
  <c r="AP140" i="43" s="1"/>
  <c r="AQ140" i="43" s="1"/>
  <c r="AR140" i="43" s="1"/>
  <c r="AS140" i="43" s="1"/>
  <c r="AT140" i="43" s="1"/>
  <c r="AU140" i="43" s="1"/>
  <c r="AV140" i="43" s="1"/>
  <c r="P141" i="43"/>
  <c r="Q141" i="43"/>
  <c r="R141" i="43"/>
  <c r="S141" i="43" s="1"/>
  <c r="T141" i="43" s="1"/>
  <c r="U141" i="43" s="1"/>
  <c r="V141" i="43" s="1"/>
  <c r="W141" i="43" s="1"/>
  <c r="X141" i="43" s="1"/>
  <c r="Y141" i="43" s="1"/>
  <c r="Z141" i="43" s="1"/>
  <c r="AA141" i="43" s="1"/>
  <c r="AB141" i="43" s="1"/>
  <c r="AC141" i="43" s="1"/>
  <c r="AD141" i="43" s="1"/>
  <c r="AE141" i="43" s="1"/>
  <c r="AF141" i="43" s="1"/>
  <c r="AG141" i="43" s="1"/>
  <c r="AH141" i="43" s="1"/>
  <c r="AI141" i="43" s="1"/>
  <c r="AJ141" i="43" s="1"/>
  <c r="AK141" i="43" s="1"/>
  <c r="AL141" i="43" s="1"/>
  <c r="AM141" i="43" s="1"/>
  <c r="AN141" i="43" s="1"/>
  <c r="AO141" i="43" s="1"/>
  <c r="AP141" i="43" s="1"/>
  <c r="AQ141" i="43" s="1"/>
  <c r="AR141" i="43" s="1"/>
  <c r="AS141" i="43" s="1"/>
  <c r="AT141" i="43" s="1"/>
  <c r="AU141" i="43" s="1"/>
  <c r="AV141" i="43" s="1"/>
  <c r="P142" i="43"/>
  <c r="Q142" i="43"/>
  <c r="R142" i="43" s="1"/>
  <c r="S142" i="43" s="1"/>
  <c r="T142" i="43" s="1"/>
  <c r="U142" i="43" s="1"/>
  <c r="V142" i="43" s="1"/>
  <c r="W142" i="43" s="1"/>
  <c r="X142" i="43" s="1"/>
  <c r="Y142" i="43" s="1"/>
  <c r="Z142" i="43" s="1"/>
  <c r="AA142" i="43" s="1"/>
  <c r="AB142" i="43" s="1"/>
  <c r="AC142" i="43" s="1"/>
  <c r="AD142" i="43" s="1"/>
  <c r="AE142" i="43" s="1"/>
  <c r="AF142" i="43" s="1"/>
  <c r="AG142" i="43" s="1"/>
  <c r="AH142" i="43" s="1"/>
  <c r="AI142" i="43" s="1"/>
  <c r="AJ142" i="43" s="1"/>
  <c r="AK142" i="43" s="1"/>
  <c r="AL142" i="43" s="1"/>
  <c r="AM142" i="43" s="1"/>
  <c r="AN142" i="43" s="1"/>
  <c r="AO142" i="43" s="1"/>
  <c r="AP142" i="43" s="1"/>
  <c r="AQ142" i="43" s="1"/>
  <c r="AR142" i="43" s="1"/>
  <c r="AS142" i="43" s="1"/>
  <c r="AT142" i="43" s="1"/>
  <c r="AU142" i="43" s="1"/>
  <c r="AV142" i="43" s="1"/>
  <c r="P143" i="43"/>
  <c r="Q143" i="43" s="1"/>
  <c r="R143" i="43" s="1"/>
  <c r="S143" i="43" s="1"/>
  <c r="T143" i="43" s="1"/>
  <c r="U143" i="43" s="1"/>
  <c r="V143" i="43" s="1"/>
  <c r="W143" i="43" s="1"/>
  <c r="X143" i="43" s="1"/>
  <c r="Y143" i="43" s="1"/>
  <c r="Z143" i="43" s="1"/>
  <c r="AA143" i="43" s="1"/>
  <c r="AB143" i="43" s="1"/>
  <c r="AC143" i="43" s="1"/>
  <c r="AD143" i="43" s="1"/>
  <c r="AE143" i="43" s="1"/>
  <c r="AF143" i="43" s="1"/>
  <c r="AG143" i="43" s="1"/>
  <c r="AH143" i="43" s="1"/>
  <c r="AI143" i="43" s="1"/>
  <c r="AJ143" i="43" s="1"/>
  <c r="AK143" i="43" s="1"/>
  <c r="AL143" i="43" s="1"/>
  <c r="AM143" i="43" s="1"/>
  <c r="AN143" i="43" s="1"/>
  <c r="AO143" i="43" s="1"/>
  <c r="AP143" i="43" s="1"/>
  <c r="AQ143" i="43" s="1"/>
  <c r="AR143" i="43" s="1"/>
  <c r="AS143" i="43" s="1"/>
  <c r="AT143" i="43" s="1"/>
  <c r="AU143" i="43" s="1"/>
  <c r="AV143" i="43" s="1"/>
  <c r="P144" i="43"/>
  <c r="Q144" i="43"/>
  <c r="R144" i="43"/>
  <c r="S144" i="43"/>
  <c r="T144" i="43" s="1"/>
  <c r="U144" i="43" s="1"/>
  <c r="V144" i="43" s="1"/>
  <c r="W144" i="43" s="1"/>
  <c r="X144" i="43" s="1"/>
  <c r="Y144" i="43" s="1"/>
  <c r="Z144" i="43" s="1"/>
  <c r="AA144" i="43" s="1"/>
  <c r="AB144" i="43" s="1"/>
  <c r="AC144" i="43" s="1"/>
  <c r="AD144" i="43" s="1"/>
  <c r="AE144" i="43" s="1"/>
  <c r="AF144" i="43" s="1"/>
  <c r="AG144" i="43" s="1"/>
  <c r="AH144" i="43" s="1"/>
  <c r="AI144" i="43" s="1"/>
  <c r="AJ144" i="43" s="1"/>
  <c r="AK144" i="43" s="1"/>
  <c r="AL144" i="43" s="1"/>
  <c r="AM144" i="43" s="1"/>
  <c r="AN144" i="43" s="1"/>
  <c r="AO144" i="43" s="1"/>
  <c r="AP144" i="43" s="1"/>
  <c r="AQ144" i="43" s="1"/>
  <c r="AR144" i="43" s="1"/>
  <c r="AS144" i="43" s="1"/>
  <c r="AT144" i="43" s="1"/>
  <c r="AU144" i="43" s="1"/>
  <c r="AV144" i="43" s="1"/>
  <c r="P145" i="43"/>
  <c r="Q145" i="43"/>
  <c r="R145" i="43"/>
  <c r="S145" i="43" s="1"/>
  <c r="T145" i="43" s="1"/>
  <c r="U145" i="43" s="1"/>
  <c r="V145" i="43" s="1"/>
  <c r="W145" i="43" s="1"/>
  <c r="X145" i="43" s="1"/>
  <c r="Y145" i="43" s="1"/>
  <c r="Z145" i="43" s="1"/>
  <c r="AA145" i="43" s="1"/>
  <c r="AB145" i="43" s="1"/>
  <c r="AC145" i="43" s="1"/>
  <c r="AD145" i="43" s="1"/>
  <c r="AE145" i="43" s="1"/>
  <c r="AF145" i="43" s="1"/>
  <c r="AG145" i="43" s="1"/>
  <c r="AH145" i="43" s="1"/>
  <c r="AI145" i="43" s="1"/>
  <c r="AJ145" i="43" s="1"/>
  <c r="AK145" i="43" s="1"/>
  <c r="AL145" i="43" s="1"/>
  <c r="AM145" i="43" s="1"/>
  <c r="AN145" i="43" s="1"/>
  <c r="AO145" i="43" s="1"/>
  <c r="AP145" i="43" s="1"/>
  <c r="AQ145" i="43" s="1"/>
  <c r="AR145" i="43" s="1"/>
  <c r="AS145" i="43" s="1"/>
  <c r="AT145" i="43" s="1"/>
  <c r="AU145" i="43" s="1"/>
  <c r="AV145" i="43" s="1"/>
  <c r="P146" i="43"/>
  <c r="Q146" i="43"/>
  <c r="R146" i="43" s="1"/>
  <c r="S146" i="43" s="1"/>
  <c r="T146" i="43" s="1"/>
  <c r="U146" i="43" s="1"/>
  <c r="V146" i="43" s="1"/>
  <c r="W146" i="43" s="1"/>
  <c r="X146" i="43" s="1"/>
  <c r="Y146" i="43" s="1"/>
  <c r="Z146" i="43" s="1"/>
  <c r="AA146" i="43" s="1"/>
  <c r="AB146" i="43" s="1"/>
  <c r="AC146" i="43" s="1"/>
  <c r="AD146" i="43" s="1"/>
  <c r="AE146" i="43" s="1"/>
  <c r="AF146" i="43" s="1"/>
  <c r="AG146" i="43" s="1"/>
  <c r="AH146" i="43" s="1"/>
  <c r="AI146" i="43" s="1"/>
  <c r="AJ146" i="43" s="1"/>
  <c r="AK146" i="43" s="1"/>
  <c r="AL146" i="43" s="1"/>
  <c r="AM146" i="43" s="1"/>
  <c r="AN146" i="43" s="1"/>
  <c r="AO146" i="43" s="1"/>
  <c r="AP146" i="43" s="1"/>
  <c r="AQ146" i="43" s="1"/>
  <c r="AR146" i="43" s="1"/>
  <c r="AS146" i="43" s="1"/>
  <c r="AT146" i="43" s="1"/>
  <c r="AU146" i="43" s="1"/>
  <c r="AV146" i="43" s="1"/>
  <c r="P147" i="43"/>
  <c r="Q147" i="43"/>
  <c r="R147" i="43" s="1"/>
  <c r="S147" i="43" s="1"/>
  <c r="T147" i="43" s="1"/>
  <c r="U147" i="43" s="1"/>
  <c r="V147" i="43" s="1"/>
  <c r="W147" i="43" s="1"/>
  <c r="X147" i="43" s="1"/>
  <c r="Y147" i="43" s="1"/>
  <c r="Z147" i="43" s="1"/>
  <c r="AA147" i="43" s="1"/>
  <c r="AB147" i="43" s="1"/>
  <c r="AC147" i="43" s="1"/>
  <c r="AD147" i="43" s="1"/>
  <c r="AE147" i="43" s="1"/>
  <c r="AF147" i="43" s="1"/>
  <c r="AG147" i="43" s="1"/>
  <c r="AH147" i="43" s="1"/>
  <c r="AI147" i="43" s="1"/>
  <c r="AJ147" i="43" s="1"/>
  <c r="AK147" i="43" s="1"/>
  <c r="AL147" i="43" s="1"/>
  <c r="AM147" i="43" s="1"/>
  <c r="AN147" i="43" s="1"/>
  <c r="AO147" i="43" s="1"/>
  <c r="AP147" i="43" s="1"/>
  <c r="AQ147" i="43" s="1"/>
  <c r="AR147" i="43" s="1"/>
  <c r="AS147" i="43" s="1"/>
  <c r="AT147" i="43" s="1"/>
  <c r="AU147" i="43" s="1"/>
  <c r="AV147" i="43" s="1"/>
  <c r="P148" i="43"/>
  <c r="Q148" i="43" s="1"/>
  <c r="R148" i="43" s="1"/>
  <c r="S148" i="43" s="1"/>
  <c r="T148" i="43" s="1"/>
  <c r="U148" i="43" s="1"/>
  <c r="V148" i="43" s="1"/>
  <c r="W148" i="43" s="1"/>
  <c r="X148" i="43" s="1"/>
  <c r="Y148" i="43" s="1"/>
  <c r="Z148" i="43" s="1"/>
  <c r="AA148" i="43" s="1"/>
  <c r="AB148" i="43" s="1"/>
  <c r="AC148" i="43" s="1"/>
  <c r="AD148" i="43" s="1"/>
  <c r="AE148" i="43" s="1"/>
  <c r="AF148" i="43" s="1"/>
  <c r="AG148" i="43" s="1"/>
  <c r="AH148" i="43" s="1"/>
  <c r="AI148" i="43" s="1"/>
  <c r="AJ148" i="43" s="1"/>
  <c r="AK148" i="43" s="1"/>
  <c r="AL148" i="43" s="1"/>
  <c r="AM148" i="43" s="1"/>
  <c r="AN148" i="43" s="1"/>
  <c r="AO148" i="43" s="1"/>
  <c r="AP148" i="43" s="1"/>
  <c r="AQ148" i="43" s="1"/>
  <c r="AR148" i="43" s="1"/>
  <c r="AS148" i="43" s="1"/>
  <c r="AT148" i="43" s="1"/>
  <c r="AU148" i="43" s="1"/>
  <c r="AV148" i="43" s="1"/>
  <c r="P149" i="43"/>
  <c r="Q149" i="43"/>
  <c r="R149" i="43"/>
  <c r="S149" i="43"/>
  <c r="T149" i="43" s="1"/>
  <c r="U149" i="43" s="1"/>
  <c r="V149" i="43" s="1"/>
  <c r="W149" i="43" s="1"/>
  <c r="X149" i="43" s="1"/>
  <c r="Y149" i="43" s="1"/>
  <c r="Z149" i="43" s="1"/>
  <c r="AA149" i="43" s="1"/>
  <c r="AB149" i="43" s="1"/>
  <c r="AC149" i="43" s="1"/>
  <c r="AD149" i="43" s="1"/>
  <c r="AE149" i="43" s="1"/>
  <c r="AF149" i="43" s="1"/>
  <c r="AG149" i="43" s="1"/>
  <c r="AH149" i="43" s="1"/>
  <c r="AI149" i="43" s="1"/>
  <c r="AJ149" i="43" s="1"/>
  <c r="AK149" i="43" s="1"/>
  <c r="AL149" i="43" s="1"/>
  <c r="AM149" i="43" s="1"/>
  <c r="AN149" i="43" s="1"/>
  <c r="AO149" i="43" s="1"/>
  <c r="AP149" i="43" s="1"/>
  <c r="AQ149" i="43" s="1"/>
  <c r="AR149" i="43" s="1"/>
  <c r="AS149" i="43" s="1"/>
  <c r="AT149" i="43" s="1"/>
  <c r="AU149" i="43" s="1"/>
  <c r="AV149" i="43" s="1"/>
  <c r="P150" i="43"/>
  <c r="Q150" i="43"/>
  <c r="R150" i="43"/>
  <c r="S150" i="43" s="1"/>
  <c r="T150" i="43" s="1"/>
  <c r="U150" i="43" s="1"/>
  <c r="V150" i="43" s="1"/>
  <c r="W150" i="43" s="1"/>
  <c r="X150" i="43" s="1"/>
  <c r="Y150" i="43" s="1"/>
  <c r="Z150" i="43" s="1"/>
  <c r="AA150" i="43" s="1"/>
  <c r="AB150" i="43" s="1"/>
  <c r="AC150" i="43" s="1"/>
  <c r="AD150" i="43" s="1"/>
  <c r="AE150" i="43" s="1"/>
  <c r="AF150" i="43" s="1"/>
  <c r="AG150" i="43" s="1"/>
  <c r="AH150" i="43" s="1"/>
  <c r="AI150" i="43" s="1"/>
  <c r="AJ150" i="43" s="1"/>
  <c r="AK150" i="43" s="1"/>
  <c r="AL150" i="43" s="1"/>
  <c r="AM150" i="43" s="1"/>
  <c r="AN150" i="43" s="1"/>
  <c r="AO150" i="43" s="1"/>
  <c r="AP150" i="43" s="1"/>
  <c r="AQ150" i="43" s="1"/>
  <c r="AR150" i="43" s="1"/>
  <c r="AS150" i="43" s="1"/>
  <c r="AT150" i="43" s="1"/>
  <c r="AU150" i="43" s="1"/>
  <c r="AV150" i="43" s="1"/>
  <c r="P151" i="43"/>
  <c r="Q151" i="43"/>
  <c r="R151" i="43" s="1"/>
  <c r="S151" i="43" s="1"/>
  <c r="T151" i="43" s="1"/>
  <c r="U151" i="43" s="1"/>
  <c r="V151" i="43" s="1"/>
  <c r="W151" i="43" s="1"/>
  <c r="X151" i="43" s="1"/>
  <c r="Y151" i="43" s="1"/>
  <c r="Z151" i="43" s="1"/>
  <c r="AA151" i="43" s="1"/>
  <c r="AB151" i="43" s="1"/>
  <c r="AC151" i="43" s="1"/>
  <c r="AD151" i="43" s="1"/>
  <c r="AE151" i="43" s="1"/>
  <c r="AF151" i="43" s="1"/>
  <c r="AG151" i="43" s="1"/>
  <c r="AH151" i="43" s="1"/>
  <c r="AI151" i="43" s="1"/>
  <c r="AJ151" i="43" s="1"/>
  <c r="AK151" i="43" s="1"/>
  <c r="AL151" i="43" s="1"/>
  <c r="AM151" i="43" s="1"/>
  <c r="AN151" i="43" s="1"/>
  <c r="AO151" i="43" s="1"/>
  <c r="AP151" i="43" s="1"/>
  <c r="AQ151" i="43" s="1"/>
  <c r="AR151" i="43" s="1"/>
  <c r="AS151" i="43" s="1"/>
  <c r="AT151" i="43" s="1"/>
  <c r="AU151" i="43" s="1"/>
  <c r="AV151" i="43" s="1"/>
  <c r="P152" i="43"/>
  <c r="Q152" i="43" s="1"/>
  <c r="R152" i="43" s="1"/>
  <c r="S152" i="43" s="1"/>
  <c r="T152" i="43" s="1"/>
  <c r="U152" i="43" s="1"/>
  <c r="V152" i="43" s="1"/>
  <c r="W152" i="43" s="1"/>
  <c r="X152" i="43" s="1"/>
  <c r="Y152" i="43" s="1"/>
  <c r="Z152" i="43" s="1"/>
  <c r="AA152" i="43" s="1"/>
  <c r="AB152" i="43" s="1"/>
  <c r="AC152" i="43" s="1"/>
  <c r="AD152" i="43" s="1"/>
  <c r="AE152" i="43" s="1"/>
  <c r="AF152" i="43" s="1"/>
  <c r="AG152" i="43" s="1"/>
  <c r="AH152" i="43" s="1"/>
  <c r="AI152" i="43" s="1"/>
  <c r="AJ152" i="43" s="1"/>
  <c r="AK152" i="43" s="1"/>
  <c r="AL152" i="43" s="1"/>
  <c r="AM152" i="43" s="1"/>
  <c r="AN152" i="43" s="1"/>
  <c r="AO152" i="43" s="1"/>
  <c r="AP152" i="43" s="1"/>
  <c r="AQ152" i="43" s="1"/>
  <c r="AR152" i="43" s="1"/>
  <c r="AS152" i="43" s="1"/>
  <c r="AT152" i="43" s="1"/>
  <c r="AU152" i="43" s="1"/>
  <c r="AV152" i="43" s="1"/>
  <c r="P153" i="43"/>
  <c r="Q153" i="43"/>
  <c r="R153" i="43"/>
  <c r="S153" i="43"/>
  <c r="T153" i="43" s="1"/>
  <c r="U153" i="43" s="1"/>
  <c r="V153" i="43" s="1"/>
  <c r="W153" i="43" s="1"/>
  <c r="X153" i="43" s="1"/>
  <c r="Y153" i="43" s="1"/>
  <c r="Z153" i="43" s="1"/>
  <c r="AA153" i="43" s="1"/>
  <c r="AB153" i="43" s="1"/>
  <c r="AC153" i="43" s="1"/>
  <c r="AD153" i="43" s="1"/>
  <c r="AE153" i="43" s="1"/>
  <c r="AF153" i="43" s="1"/>
  <c r="AG153" i="43" s="1"/>
  <c r="AH153" i="43" s="1"/>
  <c r="AI153" i="43" s="1"/>
  <c r="AJ153" i="43" s="1"/>
  <c r="AK153" i="43" s="1"/>
  <c r="AL153" i="43" s="1"/>
  <c r="AM153" i="43" s="1"/>
  <c r="AN153" i="43" s="1"/>
  <c r="AO153" i="43" s="1"/>
  <c r="AP153" i="43" s="1"/>
  <c r="AQ153" i="43" s="1"/>
  <c r="AR153" i="43" s="1"/>
  <c r="AS153" i="43" s="1"/>
  <c r="AT153" i="43" s="1"/>
  <c r="AU153" i="43" s="1"/>
  <c r="AV153" i="43" s="1"/>
  <c r="P154" i="43"/>
  <c r="Q154" i="43"/>
  <c r="R154" i="43"/>
  <c r="S154" i="43" s="1"/>
  <c r="T154" i="43" s="1"/>
  <c r="U154" i="43" s="1"/>
  <c r="V154" i="43" s="1"/>
  <c r="W154" i="43" s="1"/>
  <c r="X154" i="43" s="1"/>
  <c r="Y154" i="43" s="1"/>
  <c r="Z154" i="43" s="1"/>
  <c r="AA154" i="43" s="1"/>
  <c r="AB154" i="43" s="1"/>
  <c r="AC154" i="43" s="1"/>
  <c r="AD154" i="43" s="1"/>
  <c r="AE154" i="43" s="1"/>
  <c r="AF154" i="43" s="1"/>
  <c r="AG154" i="43" s="1"/>
  <c r="AH154" i="43" s="1"/>
  <c r="AI154" i="43" s="1"/>
  <c r="AJ154" i="43" s="1"/>
  <c r="AK154" i="43" s="1"/>
  <c r="AL154" i="43" s="1"/>
  <c r="AM154" i="43" s="1"/>
  <c r="AN154" i="43" s="1"/>
  <c r="AO154" i="43" s="1"/>
  <c r="AP154" i="43" s="1"/>
  <c r="AQ154" i="43" s="1"/>
  <c r="AR154" i="43" s="1"/>
  <c r="AS154" i="43" s="1"/>
  <c r="AT154" i="43" s="1"/>
  <c r="AU154" i="43" s="1"/>
  <c r="AV154" i="43" s="1"/>
  <c r="P155" i="43"/>
  <c r="Q155" i="43"/>
  <c r="R155" i="43" s="1"/>
  <c r="S155" i="43" s="1"/>
  <c r="T155" i="43" s="1"/>
  <c r="U155" i="43" s="1"/>
  <c r="V155" i="43" s="1"/>
  <c r="W155" i="43" s="1"/>
  <c r="X155" i="43" s="1"/>
  <c r="Y155" i="43" s="1"/>
  <c r="Z155" i="43" s="1"/>
  <c r="AA155" i="43" s="1"/>
  <c r="AB155" i="43" s="1"/>
  <c r="AC155" i="43" s="1"/>
  <c r="AD155" i="43" s="1"/>
  <c r="AE155" i="43" s="1"/>
  <c r="AF155" i="43" s="1"/>
  <c r="AG155" i="43" s="1"/>
  <c r="AH155" i="43" s="1"/>
  <c r="AI155" i="43" s="1"/>
  <c r="AJ155" i="43" s="1"/>
  <c r="AK155" i="43" s="1"/>
  <c r="AL155" i="43" s="1"/>
  <c r="AM155" i="43" s="1"/>
  <c r="AN155" i="43" s="1"/>
  <c r="AO155" i="43" s="1"/>
  <c r="AP155" i="43" s="1"/>
  <c r="AQ155" i="43" s="1"/>
  <c r="AR155" i="43" s="1"/>
  <c r="AS155" i="43" s="1"/>
  <c r="AT155" i="43" s="1"/>
  <c r="AU155" i="43" s="1"/>
  <c r="AV155" i="43" s="1"/>
  <c r="P156" i="43"/>
  <c r="Q156" i="43" s="1"/>
  <c r="R156" i="43" s="1"/>
  <c r="S156" i="43" s="1"/>
  <c r="T156" i="43" s="1"/>
  <c r="U156" i="43" s="1"/>
  <c r="V156" i="43" s="1"/>
  <c r="W156" i="43" s="1"/>
  <c r="X156" i="43" s="1"/>
  <c r="Y156" i="43" s="1"/>
  <c r="Z156" i="43" s="1"/>
  <c r="AA156" i="43" s="1"/>
  <c r="AB156" i="43" s="1"/>
  <c r="AC156" i="43" s="1"/>
  <c r="AD156" i="43" s="1"/>
  <c r="AE156" i="43" s="1"/>
  <c r="AF156" i="43" s="1"/>
  <c r="AG156" i="43" s="1"/>
  <c r="AH156" i="43" s="1"/>
  <c r="AI156" i="43" s="1"/>
  <c r="AJ156" i="43" s="1"/>
  <c r="AK156" i="43" s="1"/>
  <c r="AL156" i="43" s="1"/>
  <c r="AM156" i="43" s="1"/>
  <c r="AN156" i="43" s="1"/>
  <c r="AO156" i="43" s="1"/>
  <c r="AP156" i="43" s="1"/>
  <c r="AQ156" i="43" s="1"/>
  <c r="AR156" i="43" s="1"/>
  <c r="AS156" i="43" s="1"/>
  <c r="AT156" i="43" s="1"/>
  <c r="AU156" i="43" s="1"/>
  <c r="AV156" i="43" s="1"/>
  <c r="P157" i="43"/>
  <c r="Q157" i="43"/>
  <c r="R157" i="43"/>
  <c r="S157" i="43"/>
  <c r="T157" i="43" s="1"/>
  <c r="U157" i="43" s="1"/>
  <c r="V157" i="43" s="1"/>
  <c r="W157" i="43" s="1"/>
  <c r="X157" i="43" s="1"/>
  <c r="Y157" i="43" s="1"/>
  <c r="Z157" i="43" s="1"/>
  <c r="AA157" i="43" s="1"/>
  <c r="AB157" i="43" s="1"/>
  <c r="AC157" i="43" s="1"/>
  <c r="AD157" i="43" s="1"/>
  <c r="AE157" i="43" s="1"/>
  <c r="AF157" i="43" s="1"/>
  <c r="AG157" i="43" s="1"/>
  <c r="AH157" i="43" s="1"/>
  <c r="AI157" i="43" s="1"/>
  <c r="AJ157" i="43" s="1"/>
  <c r="AK157" i="43" s="1"/>
  <c r="AL157" i="43" s="1"/>
  <c r="AM157" i="43" s="1"/>
  <c r="AN157" i="43" s="1"/>
  <c r="AO157" i="43" s="1"/>
  <c r="AP157" i="43" s="1"/>
  <c r="AQ157" i="43" s="1"/>
  <c r="AR157" i="43" s="1"/>
  <c r="AS157" i="43" s="1"/>
  <c r="AT157" i="43" s="1"/>
  <c r="AU157" i="43" s="1"/>
  <c r="AV157" i="43" s="1"/>
  <c r="P158" i="43"/>
  <c r="Q158" i="43"/>
  <c r="R158" i="43"/>
  <c r="S158" i="43" s="1"/>
  <c r="T158" i="43" s="1"/>
  <c r="U158" i="43" s="1"/>
  <c r="V158" i="43" s="1"/>
  <c r="W158" i="43" s="1"/>
  <c r="X158" i="43" s="1"/>
  <c r="Y158" i="43" s="1"/>
  <c r="Z158" i="43" s="1"/>
  <c r="AA158" i="43" s="1"/>
  <c r="AB158" i="43" s="1"/>
  <c r="AC158" i="43" s="1"/>
  <c r="AD158" i="43" s="1"/>
  <c r="AE158" i="43" s="1"/>
  <c r="AF158" i="43" s="1"/>
  <c r="AG158" i="43" s="1"/>
  <c r="AH158" i="43" s="1"/>
  <c r="AI158" i="43" s="1"/>
  <c r="AJ158" i="43" s="1"/>
  <c r="AK158" i="43" s="1"/>
  <c r="AL158" i="43" s="1"/>
  <c r="AM158" i="43" s="1"/>
  <c r="AN158" i="43" s="1"/>
  <c r="AO158" i="43" s="1"/>
  <c r="AP158" i="43" s="1"/>
  <c r="AQ158" i="43" s="1"/>
  <c r="AR158" i="43" s="1"/>
  <c r="AS158" i="43" s="1"/>
  <c r="AT158" i="43" s="1"/>
  <c r="AU158" i="43" s="1"/>
  <c r="AV158" i="43" s="1"/>
  <c r="P159" i="43"/>
  <c r="Q159" i="43"/>
  <c r="R159" i="43" s="1"/>
  <c r="S159" i="43" s="1"/>
  <c r="T159" i="43" s="1"/>
  <c r="U159" i="43" s="1"/>
  <c r="V159" i="43" s="1"/>
  <c r="W159" i="43" s="1"/>
  <c r="X159" i="43" s="1"/>
  <c r="Y159" i="43" s="1"/>
  <c r="Z159" i="43" s="1"/>
  <c r="AA159" i="43" s="1"/>
  <c r="AB159" i="43" s="1"/>
  <c r="AC159" i="43" s="1"/>
  <c r="AD159" i="43" s="1"/>
  <c r="AE159" i="43" s="1"/>
  <c r="AF159" i="43" s="1"/>
  <c r="AG159" i="43" s="1"/>
  <c r="AH159" i="43" s="1"/>
  <c r="AI159" i="43" s="1"/>
  <c r="AJ159" i="43" s="1"/>
  <c r="AK159" i="43" s="1"/>
  <c r="AL159" i="43" s="1"/>
  <c r="AM159" i="43" s="1"/>
  <c r="AN159" i="43" s="1"/>
  <c r="AO159" i="43" s="1"/>
  <c r="AP159" i="43" s="1"/>
  <c r="AQ159" i="43" s="1"/>
  <c r="AR159" i="43" s="1"/>
  <c r="AS159" i="43" s="1"/>
  <c r="AT159" i="43" s="1"/>
  <c r="AU159" i="43" s="1"/>
  <c r="AV159" i="43" s="1"/>
  <c r="P160" i="43"/>
  <c r="Q160" i="43" s="1"/>
  <c r="R160" i="43" s="1"/>
  <c r="S160" i="43" s="1"/>
  <c r="T160" i="43" s="1"/>
  <c r="U160" i="43" s="1"/>
  <c r="V160" i="43" s="1"/>
  <c r="W160" i="43" s="1"/>
  <c r="X160" i="43" s="1"/>
  <c r="Y160" i="43" s="1"/>
  <c r="Z160" i="43" s="1"/>
  <c r="AA160" i="43" s="1"/>
  <c r="AB160" i="43" s="1"/>
  <c r="AC160" i="43" s="1"/>
  <c r="AD160" i="43" s="1"/>
  <c r="AE160" i="43" s="1"/>
  <c r="AF160" i="43" s="1"/>
  <c r="AG160" i="43" s="1"/>
  <c r="AH160" i="43" s="1"/>
  <c r="AI160" i="43" s="1"/>
  <c r="AJ160" i="43" s="1"/>
  <c r="AK160" i="43" s="1"/>
  <c r="AL160" i="43" s="1"/>
  <c r="AM160" i="43" s="1"/>
  <c r="AN160" i="43" s="1"/>
  <c r="AO160" i="43" s="1"/>
  <c r="AP160" i="43" s="1"/>
  <c r="AQ160" i="43" s="1"/>
  <c r="AR160" i="43" s="1"/>
  <c r="AS160" i="43" s="1"/>
  <c r="AT160" i="43" s="1"/>
  <c r="AU160" i="43" s="1"/>
  <c r="AV160" i="43" s="1"/>
  <c r="P161" i="43"/>
  <c r="Q161" i="43"/>
  <c r="R161" i="43"/>
  <c r="S161" i="43"/>
  <c r="T161" i="43" s="1"/>
  <c r="U161" i="43" s="1"/>
  <c r="V161" i="43" s="1"/>
  <c r="W161" i="43" s="1"/>
  <c r="X161" i="43" s="1"/>
  <c r="Y161" i="43" s="1"/>
  <c r="Z161" i="43" s="1"/>
  <c r="AA161" i="43" s="1"/>
  <c r="AB161" i="43" s="1"/>
  <c r="AC161" i="43" s="1"/>
  <c r="AD161" i="43" s="1"/>
  <c r="AE161" i="43" s="1"/>
  <c r="AF161" i="43" s="1"/>
  <c r="AG161" i="43" s="1"/>
  <c r="AH161" i="43" s="1"/>
  <c r="AI161" i="43" s="1"/>
  <c r="AJ161" i="43" s="1"/>
  <c r="AK161" i="43" s="1"/>
  <c r="AL161" i="43" s="1"/>
  <c r="AM161" i="43" s="1"/>
  <c r="AN161" i="43" s="1"/>
  <c r="AO161" i="43" s="1"/>
  <c r="AP161" i="43" s="1"/>
  <c r="AQ161" i="43" s="1"/>
  <c r="AR161" i="43" s="1"/>
  <c r="AS161" i="43" s="1"/>
  <c r="AT161" i="43" s="1"/>
  <c r="AU161" i="43" s="1"/>
  <c r="AV161" i="43" s="1"/>
  <c r="P162" i="43"/>
  <c r="Q162" i="43"/>
  <c r="R162" i="43"/>
  <c r="S162" i="43" s="1"/>
  <c r="T162" i="43" s="1"/>
  <c r="U162" i="43" s="1"/>
  <c r="V162" i="43" s="1"/>
  <c r="W162" i="43" s="1"/>
  <c r="X162" i="43" s="1"/>
  <c r="Y162" i="43" s="1"/>
  <c r="Z162" i="43" s="1"/>
  <c r="AA162" i="43" s="1"/>
  <c r="AB162" i="43" s="1"/>
  <c r="AC162" i="43" s="1"/>
  <c r="AD162" i="43" s="1"/>
  <c r="AE162" i="43" s="1"/>
  <c r="AF162" i="43" s="1"/>
  <c r="AG162" i="43" s="1"/>
  <c r="AH162" i="43" s="1"/>
  <c r="AI162" i="43" s="1"/>
  <c r="AJ162" i="43" s="1"/>
  <c r="AK162" i="43" s="1"/>
  <c r="AL162" i="43" s="1"/>
  <c r="AM162" i="43" s="1"/>
  <c r="AN162" i="43" s="1"/>
  <c r="AO162" i="43" s="1"/>
  <c r="AP162" i="43" s="1"/>
  <c r="AQ162" i="43" s="1"/>
  <c r="AR162" i="43" s="1"/>
  <c r="AS162" i="43" s="1"/>
  <c r="AT162" i="43" s="1"/>
  <c r="AU162" i="43" s="1"/>
  <c r="AV162" i="43" s="1"/>
  <c r="P163" i="43"/>
  <c r="Q163" i="43"/>
  <c r="R163" i="43" s="1"/>
  <c r="S163" i="43" s="1"/>
  <c r="T163" i="43" s="1"/>
  <c r="U163" i="43" s="1"/>
  <c r="V163" i="43" s="1"/>
  <c r="W163" i="43" s="1"/>
  <c r="X163" i="43" s="1"/>
  <c r="Y163" i="43" s="1"/>
  <c r="Z163" i="43" s="1"/>
  <c r="AA163" i="43" s="1"/>
  <c r="AB163" i="43" s="1"/>
  <c r="AC163" i="43" s="1"/>
  <c r="AD163" i="43" s="1"/>
  <c r="AE163" i="43" s="1"/>
  <c r="AF163" i="43" s="1"/>
  <c r="AG163" i="43" s="1"/>
  <c r="AH163" i="43" s="1"/>
  <c r="AI163" i="43" s="1"/>
  <c r="AJ163" i="43" s="1"/>
  <c r="AK163" i="43" s="1"/>
  <c r="AL163" i="43" s="1"/>
  <c r="AM163" i="43" s="1"/>
  <c r="AN163" i="43" s="1"/>
  <c r="AO163" i="43" s="1"/>
  <c r="AP163" i="43" s="1"/>
  <c r="AQ163" i="43" s="1"/>
  <c r="AR163" i="43" s="1"/>
  <c r="AS163" i="43" s="1"/>
  <c r="AT163" i="43" s="1"/>
  <c r="AU163" i="43" s="1"/>
  <c r="AV163" i="43" s="1"/>
  <c r="P164" i="43"/>
  <c r="Q164" i="43" s="1"/>
  <c r="R164" i="43" s="1"/>
  <c r="S164" i="43" s="1"/>
  <c r="T164" i="43" s="1"/>
  <c r="U164" i="43" s="1"/>
  <c r="V164" i="43" s="1"/>
  <c r="W164" i="43" s="1"/>
  <c r="X164" i="43" s="1"/>
  <c r="Y164" i="43" s="1"/>
  <c r="Z164" i="43" s="1"/>
  <c r="AA164" i="43" s="1"/>
  <c r="AB164" i="43" s="1"/>
  <c r="AC164" i="43" s="1"/>
  <c r="AD164" i="43" s="1"/>
  <c r="AE164" i="43" s="1"/>
  <c r="AF164" i="43" s="1"/>
  <c r="AG164" i="43" s="1"/>
  <c r="AH164" i="43" s="1"/>
  <c r="AI164" i="43" s="1"/>
  <c r="AJ164" i="43" s="1"/>
  <c r="AK164" i="43" s="1"/>
  <c r="AL164" i="43" s="1"/>
  <c r="AM164" i="43" s="1"/>
  <c r="AN164" i="43" s="1"/>
  <c r="AO164" i="43" s="1"/>
  <c r="AP164" i="43" s="1"/>
  <c r="AQ164" i="43" s="1"/>
  <c r="AR164" i="43" s="1"/>
  <c r="AS164" i="43" s="1"/>
  <c r="AT164" i="43" s="1"/>
  <c r="AU164" i="43" s="1"/>
  <c r="AV164" i="43" s="1"/>
  <c r="P165" i="43"/>
  <c r="Q165" i="43"/>
  <c r="R165" i="43" s="1"/>
  <c r="S165" i="43" s="1"/>
  <c r="T165" i="43" s="1"/>
  <c r="U165" i="43" s="1"/>
  <c r="V165" i="43" s="1"/>
  <c r="W165" i="43" s="1"/>
  <c r="X165" i="43" s="1"/>
  <c r="Y165" i="43" s="1"/>
  <c r="Z165" i="43" s="1"/>
  <c r="AA165" i="43" s="1"/>
  <c r="AB165" i="43" s="1"/>
  <c r="AC165" i="43" s="1"/>
  <c r="AD165" i="43" s="1"/>
  <c r="AE165" i="43" s="1"/>
  <c r="AF165" i="43" s="1"/>
  <c r="AG165" i="43" s="1"/>
  <c r="AH165" i="43" s="1"/>
  <c r="AI165" i="43" s="1"/>
  <c r="AJ165" i="43" s="1"/>
  <c r="AK165" i="43" s="1"/>
  <c r="AL165" i="43" s="1"/>
  <c r="AM165" i="43" s="1"/>
  <c r="AN165" i="43" s="1"/>
  <c r="AO165" i="43" s="1"/>
  <c r="AP165" i="43" s="1"/>
  <c r="AQ165" i="43" s="1"/>
  <c r="AR165" i="43" s="1"/>
  <c r="AS165" i="43" s="1"/>
  <c r="AT165" i="43" s="1"/>
  <c r="AU165" i="43" s="1"/>
  <c r="AV165" i="43" s="1"/>
  <c r="P166" i="43"/>
  <c r="Q166" i="43"/>
  <c r="R166" i="43"/>
  <c r="S166" i="43" s="1"/>
  <c r="T166" i="43" s="1"/>
  <c r="U166" i="43" s="1"/>
  <c r="V166" i="43" s="1"/>
  <c r="W166" i="43" s="1"/>
  <c r="X166" i="43" s="1"/>
  <c r="Y166" i="43" s="1"/>
  <c r="Z166" i="43" s="1"/>
  <c r="AA166" i="43" s="1"/>
  <c r="AB166" i="43" s="1"/>
  <c r="AC166" i="43" s="1"/>
  <c r="AD166" i="43" s="1"/>
  <c r="AE166" i="43" s="1"/>
  <c r="AF166" i="43" s="1"/>
  <c r="AG166" i="43" s="1"/>
  <c r="AH166" i="43" s="1"/>
  <c r="AI166" i="43" s="1"/>
  <c r="AJ166" i="43" s="1"/>
  <c r="AK166" i="43" s="1"/>
  <c r="AL166" i="43" s="1"/>
  <c r="AM166" i="43" s="1"/>
  <c r="AN166" i="43" s="1"/>
  <c r="AO166" i="43" s="1"/>
  <c r="AP166" i="43"/>
  <c r="AQ166" i="43" s="1"/>
  <c r="AR166" i="43" s="1"/>
  <c r="AS166" i="43" s="1"/>
  <c r="AT166" i="43" s="1"/>
  <c r="AU166" i="43" s="1"/>
  <c r="AV166" i="43" s="1"/>
  <c r="P167" i="43"/>
  <c r="Q167" i="43"/>
  <c r="R167" i="43" s="1"/>
  <c r="S167" i="43" s="1"/>
  <c r="T167" i="43" s="1"/>
  <c r="U167" i="43" s="1"/>
  <c r="V167" i="43" s="1"/>
  <c r="W167" i="43" s="1"/>
  <c r="X167" i="43" s="1"/>
  <c r="Y167" i="43" s="1"/>
  <c r="Z167" i="43" s="1"/>
  <c r="AA167" i="43" s="1"/>
  <c r="AB167" i="43" s="1"/>
  <c r="AC167" i="43" s="1"/>
  <c r="AD167" i="43" s="1"/>
  <c r="AE167" i="43" s="1"/>
  <c r="AF167" i="43" s="1"/>
  <c r="AG167" i="43" s="1"/>
  <c r="AH167" i="43" s="1"/>
  <c r="AI167" i="43" s="1"/>
  <c r="AJ167" i="43" s="1"/>
  <c r="AK167" i="43" s="1"/>
  <c r="AL167" i="43" s="1"/>
  <c r="AM167" i="43" s="1"/>
  <c r="AN167" i="43" s="1"/>
  <c r="AO167" i="43" s="1"/>
  <c r="AP167" i="43" s="1"/>
  <c r="AQ167" i="43" s="1"/>
  <c r="AR167" i="43" s="1"/>
  <c r="AS167" i="43" s="1"/>
  <c r="AT167" i="43" s="1"/>
  <c r="AU167" i="43" s="1"/>
  <c r="AV167" i="43" s="1"/>
  <c r="P168" i="43"/>
  <c r="Q168" i="43" s="1"/>
  <c r="R168" i="43" s="1"/>
  <c r="S168" i="43" s="1"/>
  <c r="T168" i="43" s="1"/>
  <c r="U168" i="43" s="1"/>
  <c r="V168" i="43" s="1"/>
  <c r="W168" i="43" s="1"/>
  <c r="X168" i="43" s="1"/>
  <c r="Y168" i="43" s="1"/>
  <c r="Z168" i="43" s="1"/>
  <c r="AA168" i="43" s="1"/>
  <c r="AB168" i="43" s="1"/>
  <c r="AC168" i="43" s="1"/>
  <c r="AD168" i="43" s="1"/>
  <c r="AE168" i="43" s="1"/>
  <c r="AF168" i="43" s="1"/>
  <c r="AG168" i="43" s="1"/>
  <c r="AH168" i="43" s="1"/>
  <c r="AI168" i="43" s="1"/>
  <c r="AJ168" i="43" s="1"/>
  <c r="AK168" i="43" s="1"/>
  <c r="AL168" i="43" s="1"/>
  <c r="AM168" i="43" s="1"/>
  <c r="AN168" i="43" s="1"/>
  <c r="AO168" i="43" s="1"/>
  <c r="AP168" i="43" s="1"/>
  <c r="AQ168" i="43" s="1"/>
  <c r="AR168" i="43" s="1"/>
  <c r="AS168" i="43" s="1"/>
  <c r="AT168" i="43" s="1"/>
  <c r="AU168" i="43" s="1"/>
  <c r="AV168" i="43" s="1"/>
  <c r="O67" i="43"/>
  <c r="D357" i="43"/>
  <c r="D358" i="43"/>
  <c r="D359" i="43"/>
  <c r="D360" i="43"/>
  <c r="E360" i="43" s="1" a="1"/>
  <c r="D361" i="43"/>
  <c r="D362" i="43"/>
  <c r="D363" i="43"/>
  <c r="D364" i="43"/>
  <c r="E364" i="43" s="1" a="1"/>
  <c r="D365" i="43"/>
  <c r="D366" i="43"/>
  <c r="D367" i="43"/>
  <c r="D368" i="43"/>
  <c r="D369" i="43"/>
  <c r="D370" i="43"/>
  <c r="D371" i="43"/>
  <c r="D372" i="43"/>
  <c r="D373" i="43"/>
  <c r="D374" i="43"/>
  <c r="D375" i="43"/>
  <c r="D376" i="43"/>
  <c r="D377" i="43"/>
  <c r="D378" i="43"/>
  <c r="D379" i="43"/>
  <c r="D380" i="43"/>
  <c r="D381" i="43"/>
  <c r="D382" i="43"/>
  <c r="D383" i="43"/>
  <c r="D384" i="43"/>
  <c r="D385" i="43"/>
  <c r="D386" i="43"/>
  <c r="D387" i="43"/>
  <c r="D388" i="43"/>
  <c r="D389" i="43"/>
  <c r="D390" i="43"/>
  <c r="D391" i="43"/>
  <c r="D392" i="43"/>
  <c r="D393" i="43"/>
  <c r="D394" i="43"/>
  <c r="D395" i="43"/>
  <c r="D396" i="43"/>
  <c r="D397" i="43"/>
  <c r="D398" i="43"/>
  <c r="D399" i="43"/>
  <c r="D400" i="43"/>
  <c r="D401" i="43"/>
  <c r="D402" i="43"/>
  <c r="D403" i="43"/>
  <c r="D404" i="43"/>
  <c r="D405" i="43"/>
  <c r="D406" i="43"/>
  <c r="D407" i="43"/>
  <c r="D408" i="43"/>
  <c r="D409" i="43"/>
  <c r="D410" i="43"/>
  <c r="D411" i="43"/>
  <c r="D412" i="43"/>
  <c r="D413" i="43"/>
  <c r="D414" i="43"/>
  <c r="D415" i="43"/>
  <c r="D416" i="43"/>
  <c r="D417" i="43"/>
  <c r="D418" i="43"/>
  <c r="D419" i="43"/>
  <c r="D420" i="43"/>
  <c r="D421" i="43"/>
  <c r="D422" i="43"/>
  <c r="D423" i="43"/>
  <c r="D424" i="43"/>
  <c r="D425" i="43"/>
  <c r="D426" i="43"/>
  <c r="D427" i="43"/>
  <c r="D428" i="43"/>
  <c r="D429" i="43"/>
  <c r="D430" i="43"/>
  <c r="D431" i="43"/>
  <c r="D432" i="43"/>
  <c r="D433" i="43"/>
  <c r="D434" i="43"/>
  <c r="D435" i="43"/>
  <c r="D436" i="43"/>
  <c r="D437" i="43"/>
  <c r="D438" i="43"/>
  <c r="D439" i="43"/>
  <c r="D440" i="43"/>
  <c r="D441" i="43"/>
  <c r="D442" i="43"/>
  <c r="D443" i="43"/>
  <c r="D444" i="43"/>
  <c r="D445" i="43"/>
  <c r="D446" i="43"/>
  <c r="D447" i="43"/>
  <c r="D448" i="43"/>
  <c r="D449" i="43"/>
  <c r="D450" i="43"/>
  <c r="D451" i="43"/>
  <c r="D452" i="43"/>
  <c r="D453" i="43"/>
  <c r="D454" i="43"/>
  <c r="D455" i="43"/>
  <c r="D456" i="43"/>
  <c r="D457" i="43"/>
  <c r="D458" i="43"/>
  <c r="D459" i="43"/>
  <c r="D460" i="43"/>
  <c r="D461" i="43"/>
  <c r="D462" i="43"/>
  <c r="D463" i="43"/>
  <c r="D464" i="43"/>
  <c r="D465" i="43"/>
  <c r="D466" i="43"/>
  <c r="D467" i="43"/>
  <c r="D468" i="43"/>
  <c r="D469" i="43"/>
  <c r="D470" i="43"/>
  <c r="D471" i="43"/>
  <c r="D472" i="43"/>
  <c r="D473" i="43"/>
  <c r="D474" i="43"/>
  <c r="D475" i="43"/>
  <c r="D476" i="43"/>
  <c r="D477" i="43"/>
  <c r="D478" i="43"/>
  <c r="D479" i="43"/>
  <c r="D480" i="43"/>
  <c r="D481" i="43"/>
  <c r="D482" i="43"/>
  <c r="D483" i="43"/>
  <c r="D484" i="43"/>
  <c r="D485" i="43"/>
  <c r="D486" i="43"/>
  <c r="D487" i="43"/>
  <c r="D488" i="43"/>
  <c r="D489" i="43"/>
  <c r="D490" i="43"/>
  <c r="D491" i="43"/>
  <c r="D492" i="43"/>
  <c r="D493" i="43"/>
  <c r="D494" i="43"/>
  <c r="D495" i="43"/>
  <c r="D496" i="43"/>
  <c r="D497" i="43"/>
  <c r="D498" i="43"/>
  <c r="D499" i="43"/>
  <c r="D500" i="43"/>
  <c r="D501" i="43"/>
  <c r="D502" i="43"/>
  <c r="D503" i="43"/>
  <c r="D504" i="43"/>
  <c r="D505" i="43"/>
  <c r="D506" i="43"/>
  <c r="D507" i="43"/>
  <c r="D508" i="43"/>
  <c r="D509" i="43"/>
  <c r="D510" i="43"/>
  <c r="D511" i="43"/>
  <c r="D512" i="43"/>
  <c r="D513" i="43"/>
  <c r="D514" i="43"/>
  <c r="D515" i="43"/>
  <c r="D516" i="43"/>
  <c r="D517" i="43"/>
  <c r="D518" i="43"/>
  <c r="D519" i="43"/>
  <c r="D520" i="43"/>
  <c r="D521" i="43"/>
  <c r="D522" i="43"/>
  <c r="D356" i="43"/>
  <c r="O3" i="43"/>
  <c r="O5" i="43"/>
  <c r="O7" i="43"/>
  <c r="O8" i="43"/>
  <c r="O9" i="43"/>
  <c r="O11" i="43"/>
  <c r="O12" i="43"/>
  <c r="O17" i="43"/>
  <c r="O18" i="43"/>
  <c r="O19" i="43"/>
  <c r="O20" i="43"/>
  <c r="O21" i="43"/>
  <c r="O22" i="43"/>
  <c r="O26" i="43"/>
  <c r="O27" i="43"/>
  <c r="O28" i="43"/>
  <c r="O29" i="43"/>
  <c r="O30" i="43"/>
  <c r="O31" i="43"/>
  <c r="O32" i="43"/>
  <c r="O33" i="43"/>
  <c r="O34" i="43"/>
  <c r="O35" i="43"/>
  <c r="O36" i="43"/>
  <c r="O37" i="43"/>
  <c r="O38" i="43"/>
  <c r="O39" i="43"/>
  <c r="O40" i="43"/>
  <c r="O41" i="43"/>
  <c r="O42" i="43"/>
  <c r="O43" i="43"/>
  <c r="O44" i="43"/>
  <c r="O45" i="43"/>
  <c r="O46" i="43"/>
  <c r="O47" i="43"/>
  <c r="O48" i="43"/>
  <c r="O49" i="43"/>
  <c r="O50" i="43"/>
  <c r="O52" i="43"/>
  <c r="O53" i="43"/>
  <c r="O54" i="43"/>
  <c r="O55" i="43"/>
  <c r="O56" i="43"/>
  <c r="O57" i="43"/>
  <c r="O58" i="43"/>
  <c r="O59" i="43"/>
  <c r="O60" i="43"/>
  <c r="O61" i="43"/>
  <c r="O62" i="43"/>
  <c r="O63" i="43"/>
  <c r="O64" i="43"/>
  <c r="O65" i="43"/>
  <c r="O66" i="43"/>
  <c r="O68" i="43"/>
  <c r="O69" i="43"/>
  <c r="O70" i="43"/>
  <c r="O71" i="43"/>
  <c r="O72" i="43"/>
  <c r="O73" i="43"/>
  <c r="O74" i="43"/>
  <c r="O75" i="43"/>
  <c r="O76" i="43"/>
  <c r="O77" i="43"/>
  <c r="O78" i="43"/>
  <c r="O79" i="43"/>
  <c r="O80" i="43"/>
  <c r="O81" i="43"/>
  <c r="O82" i="43"/>
  <c r="O83" i="43"/>
  <c r="O84" i="43"/>
  <c r="O85" i="43"/>
  <c r="O86" i="43"/>
  <c r="O87" i="43"/>
  <c r="O88" i="43"/>
  <c r="O89" i="43"/>
  <c r="O90" i="43"/>
  <c r="O91" i="43"/>
  <c r="O92" i="43"/>
  <c r="O93" i="43"/>
  <c r="O94" i="43"/>
  <c r="O95" i="43"/>
  <c r="O96" i="43"/>
  <c r="O97" i="43"/>
  <c r="O98" i="43"/>
  <c r="O99" i="43"/>
  <c r="O100" i="43"/>
  <c r="O101" i="43"/>
  <c r="O102" i="43"/>
  <c r="O103" i="43"/>
  <c r="O104" i="43"/>
  <c r="O105" i="43"/>
  <c r="O106" i="43"/>
  <c r="O107" i="43"/>
  <c r="O108" i="43"/>
  <c r="O109" i="43"/>
  <c r="O110" i="43"/>
  <c r="O111" i="43"/>
  <c r="O112" i="43"/>
  <c r="O113" i="43"/>
  <c r="O114" i="43"/>
  <c r="O115" i="43"/>
  <c r="O116" i="43"/>
  <c r="O117" i="43"/>
  <c r="O118" i="43"/>
  <c r="O119" i="43"/>
  <c r="O120" i="43"/>
  <c r="O121" i="43"/>
  <c r="O122" i="43"/>
  <c r="O123" i="43"/>
  <c r="O124" i="43"/>
  <c r="O125" i="43"/>
  <c r="O126" i="43"/>
  <c r="O127" i="43"/>
  <c r="O128" i="43"/>
  <c r="O129" i="43"/>
  <c r="O130" i="43"/>
  <c r="O131" i="43"/>
  <c r="O132" i="43"/>
  <c r="O133" i="43"/>
  <c r="O134" i="43"/>
  <c r="O135" i="43"/>
  <c r="O136" i="43"/>
  <c r="O137" i="43"/>
  <c r="O138" i="43"/>
  <c r="O139" i="43"/>
  <c r="O140" i="43"/>
  <c r="O141" i="43"/>
  <c r="O142" i="43"/>
  <c r="O143" i="43"/>
  <c r="O144" i="43"/>
  <c r="O145" i="43"/>
  <c r="O146" i="43"/>
  <c r="O147" i="43"/>
  <c r="O148" i="43"/>
  <c r="O149" i="43"/>
  <c r="O150" i="43"/>
  <c r="O151" i="43"/>
  <c r="O152" i="43"/>
  <c r="O153" i="43"/>
  <c r="O154" i="43"/>
  <c r="O155" i="43"/>
  <c r="O156" i="43"/>
  <c r="O157" i="43"/>
  <c r="O158" i="43"/>
  <c r="O159" i="43"/>
  <c r="O160" i="43"/>
  <c r="O161" i="43"/>
  <c r="O162" i="43"/>
  <c r="O163" i="43"/>
  <c r="O164" i="43"/>
  <c r="O165" i="43"/>
  <c r="O166" i="43"/>
  <c r="O167" i="43"/>
  <c r="O168" i="43"/>
  <c r="E357" i="43" a="1"/>
  <c r="E357" i="43" s="1"/>
  <c r="F357" i="43"/>
  <c r="E358" i="43" a="1"/>
  <c r="E359" i="43" a="1"/>
  <c r="F359" i="43" s="1"/>
  <c r="E361" i="43" a="1"/>
  <c r="E361" i="43" s="1"/>
  <c r="F361" i="43"/>
  <c r="E362" i="43" a="1"/>
  <c r="E363" i="43" a="1"/>
  <c r="F363" i="43" s="1"/>
  <c r="E365" i="43" a="1"/>
  <c r="E365" i="43" s="1"/>
  <c r="F365" i="43"/>
  <c r="E366" i="43" a="1"/>
  <c r="E367" i="43" a="1"/>
  <c r="F367" i="43" s="1"/>
  <c r="E368" i="43" a="1"/>
  <c r="E368" i="43" s="1"/>
  <c r="E369" i="43" a="1"/>
  <c r="E369" i="43" s="1"/>
  <c r="F369" i="43"/>
  <c r="O15" i="43" s="1"/>
  <c r="E370" i="43" a="1"/>
  <c r="E370" i="43" s="1"/>
  <c r="F370" i="43"/>
  <c r="O16" i="43" s="1"/>
  <c r="E371" i="43" a="1"/>
  <c r="F371" i="43" s="1"/>
  <c r="E372" i="43" a="1"/>
  <c r="F372" i="43" s="1"/>
  <c r="E373" i="43" a="1"/>
  <c r="E373" i="43" s="1"/>
  <c r="F373" i="43"/>
  <c r="E374" i="43" a="1"/>
  <c r="E374" i="43" s="1"/>
  <c r="E375" i="43" a="1"/>
  <c r="F375" i="43" s="1"/>
  <c r="E376" i="43" a="1"/>
  <c r="E376" i="43" s="1"/>
  <c r="E377" i="43" a="1"/>
  <c r="E377" i="43" s="1"/>
  <c r="F377" i="43"/>
  <c r="E378" i="43" a="1"/>
  <c r="E378" i="43" s="1"/>
  <c r="F378" i="43"/>
  <c r="O24" i="43" s="1"/>
  <c r="E379" i="43" a="1"/>
  <c r="F379" i="43" s="1"/>
  <c r="E380" i="43" a="1"/>
  <c r="F380" i="43" s="1"/>
  <c r="E381" i="43" a="1"/>
  <c r="E381" i="43" s="1"/>
  <c r="F381" i="43"/>
  <c r="E382" i="43" a="1"/>
  <c r="E382" i="43" s="1"/>
  <c r="E383" i="43" a="1"/>
  <c r="F383" i="43" s="1"/>
  <c r="E384" i="43" a="1"/>
  <c r="E384" i="43" s="1"/>
  <c r="E385" i="43" a="1"/>
  <c r="E385" i="43" s="1"/>
  <c r="F385" i="43"/>
  <c r="E386" i="43" a="1"/>
  <c r="E386" i="43" s="1"/>
  <c r="F386" i="43"/>
  <c r="E387" i="43" a="1"/>
  <c r="F387" i="43" s="1"/>
  <c r="E388" i="43" a="1"/>
  <c r="F388" i="43" s="1"/>
  <c r="E389" i="43" a="1"/>
  <c r="E389" i="43" s="1"/>
  <c r="F389" i="43"/>
  <c r="E390" i="43" a="1"/>
  <c r="E390" i="43" s="1"/>
  <c r="E391" i="43" a="1"/>
  <c r="F391" i="43" s="1"/>
  <c r="E392" i="43" a="1"/>
  <c r="E392" i="43" s="1"/>
  <c r="E393" i="43" a="1"/>
  <c r="E393" i="43" s="1"/>
  <c r="F393" i="43"/>
  <c r="E394" i="43" a="1"/>
  <c r="E394" i="43" s="1"/>
  <c r="F394" i="43"/>
  <c r="E395" i="43" a="1"/>
  <c r="F395" i="43" s="1"/>
  <c r="E396" i="43" a="1"/>
  <c r="F396" i="43" s="1"/>
  <c r="E397" i="43" a="1"/>
  <c r="E397" i="43" s="1"/>
  <c r="F397" i="43"/>
  <c r="E398" i="43" a="1"/>
  <c r="E398" i="43" s="1"/>
  <c r="E399" i="43" a="1"/>
  <c r="F399" i="43" s="1"/>
  <c r="E400" i="43" a="1"/>
  <c r="E400" i="43" s="1"/>
  <c r="E401" i="43" a="1"/>
  <c r="E401" i="43" s="1"/>
  <c r="F401" i="43"/>
  <c r="E402" i="43" a="1"/>
  <c r="E402" i="43" s="1"/>
  <c r="F402" i="43"/>
  <c r="E403" i="43" a="1"/>
  <c r="F403" i="43" s="1"/>
  <c r="E404" i="43" a="1"/>
  <c r="F404" i="43" s="1"/>
  <c r="E405" i="43" a="1"/>
  <c r="E405" i="43" s="1"/>
  <c r="F405" i="43"/>
  <c r="O51" i="43" s="1"/>
  <c r="E406" i="43" a="1"/>
  <c r="E406" i="43" s="1"/>
  <c r="E407" i="43" a="1"/>
  <c r="F407" i="43" s="1"/>
  <c r="E408" i="43" a="1"/>
  <c r="E408" i="43" s="1"/>
  <c r="E409" i="43" a="1"/>
  <c r="E409" i="43" s="1"/>
  <c r="F409" i="43"/>
  <c r="E410" i="43" a="1"/>
  <c r="E410" i="43" s="1"/>
  <c r="F410" i="43"/>
  <c r="E411" i="43" a="1"/>
  <c r="F411" i="43" s="1"/>
  <c r="E412" i="43" a="1"/>
  <c r="F412" i="43" s="1"/>
  <c r="E413" i="43" a="1"/>
  <c r="E413" i="43" s="1"/>
  <c r="F413" i="43"/>
  <c r="E414" i="43" a="1"/>
  <c r="E414" i="43" s="1"/>
  <c r="E415" i="43" a="1"/>
  <c r="F415" i="43" s="1"/>
  <c r="E416" i="43" a="1"/>
  <c r="E416" i="43" s="1"/>
  <c r="E417" i="43" a="1"/>
  <c r="E417" i="43" s="1"/>
  <c r="F417" i="43"/>
  <c r="E418" i="43" a="1"/>
  <c r="E418" i="43" s="1"/>
  <c r="F418" i="43"/>
  <c r="E419" i="43" a="1"/>
  <c r="F419" i="43" s="1"/>
  <c r="E420" i="43" a="1"/>
  <c r="F420" i="43" s="1"/>
  <c r="E421" i="43" a="1"/>
  <c r="E421" i="43" s="1"/>
  <c r="F421" i="43"/>
  <c r="E422" i="43" a="1"/>
  <c r="E422" i="43" s="1"/>
  <c r="E423" i="43" a="1"/>
  <c r="F423" i="43" s="1"/>
  <c r="E424" i="43" a="1"/>
  <c r="E424" i="43" s="1"/>
  <c r="E425" i="43" a="1"/>
  <c r="E425" i="43" s="1"/>
  <c r="F425" i="43"/>
  <c r="E426" i="43" a="1"/>
  <c r="E426" i="43" s="1"/>
  <c r="F426" i="43"/>
  <c r="E427" i="43" a="1"/>
  <c r="F427" i="43" s="1"/>
  <c r="E428" i="43" a="1"/>
  <c r="F428" i="43" s="1"/>
  <c r="E429" i="43" a="1"/>
  <c r="E429" i="43" s="1"/>
  <c r="F429" i="43"/>
  <c r="E430" i="43" a="1"/>
  <c r="E430" i="43" s="1"/>
  <c r="E431" i="43" a="1"/>
  <c r="F431" i="43" s="1"/>
  <c r="E432" i="43" a="1"/>
  <c r="E432" i="43" s="1"/>
  <c r="E433" i="43" a="1"/>
  <c r="E433" i="43" s="1"/>
  <c r="F433" i="43"/>
  <c r="E434" i="43" a="1"/>
  <c r="E434" i="43" s="1"/>
  <c r="F434" i="43"/>
  <c r="E435" i="43" a="1"/>
  <c r="F435" i="43" s="1"/>
  <c r="E436" i="43" a="1"/>
  <c r="F436" i="43" s="1"/>
  <c r="E437" i="43" a="1"/>
  <c r="E437" i="43" s="1"/>
  <c r="F437" i="43"/>
  <c r="E438" i="43" a="1"/>
  <c r="E438" i="43" s="1"/>
  <c r="E439" i="43" a="1"/>
  <c r="F439" i="43" s="1"/>
  <c r="E440" i="43" a="1"/>
  <c r="E440" i="43" s="1"/>
  <c r="E441" i="43" a="1"/>
  <c r="E441" i="43" s="1"/>
  <c r="F441" i="43"/>
  <c r="E442" i="43" a="1"/>
  <c r="E442" i="43" s="1"/>
  <c r="F442" i="43"/>
  <c r="E443" i="43" a="1"/>
  <c r="F443" i="43" s="1"/>
  <c r="E444" i="43" a="1"/>
  <c r="F444" i="43" s="1"/>
  <c r="E445" i="43" a="1"/>
  <c r="E445" i="43" s="1"/>
  <c r="F445" i="43"/>
  <c r="E446" i="43" a="1"/>
  <c r="E446" i="43" s="1"/>
  <c r="E447" i="43" a="1"/>
  <c r="F447" i="43" s="1"/>
  <c r="E448" i="43" a="1"/>
  <c r="E448" i="43" s="1"/>
  <c r="E449" i="43" a="1"/>
  <c r="E449" i="43" s="1"/>
  <c r="F449" i="43"/>
  <c r="E450" i="43" a="1"/>
  <c r="E450" i="43" s="1"/>
  <c r="F450" i="43"/>
  <c r="E451" i="43" a="1"/>
  <c r="F451" i="43" s="1"/>
  <c r="E452" i="43" a="1"/>
  <c r="F452" i="43" s="1"/>
  <c r="E453" i="43" a="1"/>
  <c r="E453" i="43" s="1"/>
  <c r="F453" i="43"/>
  <c r="E454" i="43" a="1"/>
  <c r="E454" i="43" s="1"/>
  <c r="E455" i="43" a="1"/>
  <c r="F455" i="43" s="1"/>
  <c r="E456" i="43" a="1"/>
  <c r="E456" i="43" s="1"/>
  <c r="E457" i="43" a="1"/>
  <c r="E457" i="43" s="1"/>
  <c r="F457" i="43"/>
  <c r="E458" i="43" a="1"/>
  <c r="E458" i="43" s="1"/>
  <c r="F458" i="43"/>
  <c r="E459" i="43" a="1"/>
  <c r="F459" i="43" s="1"/>
  <c r="E460" i="43" a="1"/>
  <c r="F460" i="43" s="1"/>
  <c r="E461" i="43" a="1"/>
  <c r="E461" i="43" s="1"/>
  <c r="F461" i="43"/>
  <c r="E462" i="43" a="1"/>
  <c r="E462" i="43" s="1"/>
  <c r="E463" i="43" a="1"/>
  <c r="F463" i="43" s="1"/>
  <c r="E464" i="43" a="1"/>
  <c r="E464" i="43" s="1"/>
  <c r="E465" i="43" a="1"/>
  <c r="E465" i="43" s="1"/>
  <c r="F465" i="43"/>
  <c r="E466" i="43" a="1"/>
  <c r="E466" i="43" s="1"/>
  <c r="F466" i="43"/>
  <c r="E467" i="43" a="1"/>
  <c r="F467" i="43" s="1"/>
  <c r="E468" i="43" a="1"/>
  <c r="F468" i="43" s="1"/>
  <c r="E469" i="43" a="1"/>
  <c r="E469" i="43" s="1"/>
  <c r="F469" i="43"/>
  <c r="E470" i="43" a="1"/>
  <c r="E470" i="43" s="1"/>
  <c r="E471" i="43" a="1"/>
  <c r="F471" i="43" s="1"/>
  <c r="E472" i="43" a="1"/>
  <c r="E472" i="43" s="1"/>
  <c r="E473" i="43" a="1"/>
  <c r="E473" i="43" s="1"/>
  <c r="F473" i="43"/>
  <c r="E474" i="43" a="1"/>
  <c r="E474" i="43" s="1"/>
  <c r="F474" i="43"/>
  <c r="E475" i="43" a="1"/>
  <c r="F475" i="43" s="1"/>
  <c r="E476" i="43" a="1"/>
  <c r="F476" i="43" s="1"/>
  <c r="E477" i="43" a="1"/>
  <c r="E477" i="43" s="1"/>
  <c r="F477" i="43"/>
  <c r="E478" i="43" a="1"/>
  <c r="E478" i="43" s="1"/>
  <c r="E479" i="43" a="1"/>
  <c r="F479" i="43" s="1"/>
  <c r="E480" i="43" a="1"/>
  <c r="E480" i="43" s="1"/>
  <c r="E481" i="43" a="1"/>
  <c r="E481" i="43" s="1"/>
  <c r="F481" i="43"/>
  <c r="E482" i="43" a="1"/>
  <c r="E482" i="43" s="1"/>
  <c r="F482" i="43"/>
  <c r="E483" i="43" a="1"/>
  <c r="F483" i="43" s="1"/>
  <c r="E484" i="43" a="1"/>
  <c r="F484" i="43" s="1"/>
  <c r="E485" i="43" a="1"/>
  <c r="E485" i="43" s="1"/>
  <c r="F485" i="43"/>
  <c r="E486" i="43" a="1"/>
  <c r="E486" i="43" s="1"/>
  <c r="E487" i="43" a="1"/>
  <c r="F487" i="43" s="1"/>
  <c r="E488" i="43" a="1"/>
  <c r="E488" i="43" s="1"/>
  <c r="E489" i="43" a="1"/>
  <c r="E489" i="43" s="1"/>
  <c r="F489" i="43"/>
  <c r="E490" i="43" a="1"/>
  <c r="E490" i="43" s="1"/>
  <c r="F490" i="43"/>
  <c r="E491" i="43" a="1"/>
  <c r="F491" i="43" s="1"/>
  <c r="E492" i="43" a="1"/>
  <c r="F492" i="43" s="1"/>
  <c r="E493" i="43" a="1"/>
  <c r="E493" i="43" s="1"/>
  <c r="F493" i="43"/>
  <c r="E494" i="43" a="1"/>
  <c r="E494" i="43" s="1"/>
  <c r="E495" i="43" a="1"/>
  <c r="F495" i="43" s="1"/>
  <c r="E496" i="43" a="1"/>
  <c r="E496" i="43" s="1"/>
  <c r="E497" i="43" a="1"/>
  <c r="E497" i="43" s="1"/>
  <c r="F497" i="43"/>
  <c r="E498" i="43" a="1"/>
  <c r="E498" i="43" s="1"/>
  <c r="F498" i="43"/>
  <c r="E499" i="43" a="1"/>
  <c r="F499" i="43" s="1"/>
  <c r="E500" i="43" a="1"/>
  <c r="F500" i="43" s="1"/>
  <c r="E501" i="43" a="1"/>
  <c r="E501" i="43" s="1"/>
  <c r="F501" i="43"/>
  <c r="E502" i="43" a="1"/>
  <c r="E502" i="43" s="1"/>
  <c r="E503" i="43" a="1"/>
  <c r="F503" i="43" s="1"/>
  <c r="E504" i="43" a="1"/>
  <c r="E504" i="43" s="1"/>
  <c r="E505" i="43" a="1"/>
  <c r="E505" i="43" s="1"/>
  <c r="F505" i="43"/>
  <c r="E506" i="43" a="1"/>
  <c r="E506" i="43" s="1"/>
  <c r="F506" i="43"/>
  <c r="E507" i="43" a="1"/>
  <c r="F507" i="43" s="1"/>
  <c r="E508" i="43" a="1"/>
  <c r="F508" i="43" s="1"/>
  <c r="E509" i="43" a="1"/>
  <c r="E509" i="43" s="1"/>
  <c r="F509" i="43"/>
  <c r="E510" i="43" a="1"/>
  <c r="E510" i="43" s="1"/>
  <c r="E511" i="43" a="1"/>
  <c r="F511" i="43" s="1"/>
  <c r="E512" i="43" a="1"/>
  <c r="E512" i="43" s="1"/>
  <c r="E513" i="43" a="1"/>
  <c r="E513" i="43" s="1"/>
  <c r="F513" i="43"/>
  <c r="E514" i="43" a="1"/>
  <c r="E514" i="43" s="1"/>
  <c r="F514" i="43"/>
  <c r="E515" i="43" a="1"/>
  <c r="F515" i="43" s="1"/>
  <c r="E516" i="43" a="1"/>
  <c r="F516" i="43" s="1"/>
  <c r="E517" i="43" a="1"/>
  <c r="E517" i="43" s="1"/>
  <c r="F517" i="43"/>
  <c r="E518" i="43" a="1"/>
  <c r="E518" i="43" s="1"/>
  <c r="E519" i="43" a="1"/>
  <c r="F519" i="43" s="1"/>
  <c r="E520" i="43" a="1"/>
  <c r="E520" i="43" s="1"/>
  <c r="E521" i="43" a="1"/>
  <c r="E521" i="43" s="1"/>
  <c r="F521" i="43"/>
  <c r="E522" i="43" a="1"/>
  <c r="E522" i="43" s="1"/>
  <c r="F522" i="43"/>
  <c r="E356" i="43" a="1"/>
  <c r="E356" i="43" s="1"/>
  <c r="D67" i="43"/>
  <c r="E67" i="43"/>
  <c r="F67" i="43"/>
  <c r="G67" i="43"/>
  <c r="H67" i="43"/>
  <c r="I67" i="43"/>
  <c r="J67" i="43"/>
  <c r="K67" i="43"/>
  <c r="L67" i="43"/>
  <c r="M67" i="43"/>
  <c r="N67" i="43"/>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C32" i="2"/>
  <c r="C31" i="2"/>
  <c r="B32" i="2"/>
  <c r="B31" i="2"/>
  <c r="N2" i="43"/>
  <c r="N3" i="43"/>
  <c r="N4" i="43"/>
  <c r="N5" i="43"/>
  <c r="N6" i="43"/>
  <c r="N7" i="43"/>
  <c r="N8" i="43"/>
  <c r="N9" i="43"/>
  <c r="N10" i="43"/>
  <c r="N11" i="43"/>
  <c r="N12" i="43"/>
  <c r="N13" i="43"/>
  <c r="N14" i="43"/>
  <c r="N15" i="43"/>
  <c r="N16" i="43"/>
  <c r="N17" i="43"/>
  <c r="N18" i="43"/>
  <c r="N19" i="43"/>
  <c r="N20" i="43"/>
  <c r="N21" i="43"/>
  <c r="N22" i="43"/>
  <c r="N23" i="43"/>
  <c r="N24" i="43"/>
  <c r="N25" i="43"/>
  <c r="N26" i="43"/>
  <c r="N27" i="43"/>
  <c r="N28" i="43"/>
  <c r="N29" i="43"/>
  <c r="N30" i="43"/>
  <c r="N31" i="43"/>
  <c r="N32" i="43"/>
  <c r="N33" i="43"/>
  <c r="N34" i="43"/>
  <c r="N35" i="43"/>
  <c r="N36" i="43"/>
  <c r="N37" i="43"/>
  <c r="N38" i="43"/>
  <c r="N39" i="43"/>
  <c r="N40" i="43"/>
  <c r="N41" i="43"/>
  <c r="N42" i="43"/>
  <c r="N43" i="43"/>
  <c r="N44" i="43"/>
  <c r="N45" i="43"/>
  <c r="N46" i="43"/>
  <c r="N47" i="43"/>
  <c r="N48" i="43"/>
  <c r="N49" i="43"/>
  <c r="N50" i="43"/>
  <c r="N51" i="43"/>
  <c r="N52" i="43"/>
  <c r="N53" i="43"/>
  <c r="N54" i="43"/>
  <c r="N55" i="43"/>
  <c r="N56" i="43"/>
  <c r="N57" i="43"/>
  <c r="N58" i="43"/>
  <c r="N59" i="43"/>
  <c r="N60" i="43"/>
  <c r="N61" i="43"/>
  <c r="N62" i="43"/>
  <c r="N63" i="43"/>
  <c r="N64" i="43"/>
  <c r="N65" i="43"/>
  <c r="N66" i="43"/>
  <c r="N68" i="43"/>
  <c r="N69" i="43"/>
  <c r="N70" i="43"/>
  <c r="N71" i="43"/>
  <c r="N72" i="43"/>
  <c r="N73" i="43"/>
  <c r="N74" i="43"/>
  <c r="N75" i="43"/>
  <c r="N76" i="43"/>
  <c r="N77" i="43"/>
  <c r="N78" i="43"/>
  <c r="N79" i="43"/>
  <c r="N80" i="43"/>
  <c r="N81" i="43"/>
  <c r="N82" i="43"/>
  <c r="N83" i="43"/>
  <c r="N84" i="43"/>
  <c r="N85" i="43"/>
  <c r="N86" i="43"/>
  <c r="N87" i="43"/>
  <c r="N88" i="43"/>
  <c r="N89" i="43"/>
  <c r="N90" i="43"/>
  <c r="N91" i="43"/>
  <c r="N92" i="43"/>
  <c r="N93" i="43"/>
  <c r="N94" i="43"/>
  <c r="N95" i="43"/>
  <c r="N96" i="43"/>
  <c r="N97" i="43"/>
  <c r="N98" i="43"/>
  <c r="N99" i="43"/>
  <c r="N100" i="43"/>
  <c r="N101" i="43"/>
  <c r="N102" i="43"/>
  <c r="N103" i="43"/>
  <c r="N104" i="43"/>
  <c r="N105" i="43"/>
  <c r="N106" i="43"/>
  <c r="N107" i="43"/>
  <c r="N108" i="43"/>
  <c r="N109" i="43"/>
  <c r="N110" i="43"/>
  <c r="N111" i="43"/>
  <c r="N112" i="43"/>
  <c r="N113" i="43"/>
  <c r="N114" i="43"/>
  <c r="N115" i="43"/>
  <c r="N116" i="43"/>
  <c r="N117" i="43"/>
  <c r="N118" i="43"/>
  <c r="N119" i="43"/>
  <c r="N120" i="43"/>
  <c r="N121" i="43"/>
  <c r="N122" i="43"/>
  <c r="N123" i="43"/>
  <c r="N124" i="43"/>
  <c r="N125" i="43"/>
  <c r="N126" i="43"/>
  <c r="N127" i="43"/>
  <c r="N128" i="43"/>
  <c r="N129" i="43"/>
  <c r="N130" i="43"/>
  <c r="N131" i="43"/>
  <c r="N132" i="43"/>
  <c r="N133" i="43"/>
  <c r="N134" i="43"/>
  <c r="N135" i="43"/>
  <c r="N136" i="43"/>
  <c r="N137" i="43"/>
  <c r="N138" i="43"/>
  <c r="N139" i="43"/>
  <c r="N140" i="43"/>
  <c r="N141" i="43"/>
  <c r="N142" i="43"/>
  <c r="N143" i="43"/>
  <c r="N144" i="43"/>
  <c r="N145" i="43"/>
  <c r="N146" i="43"/>
  <c r="N147" i="43"/>
  <c r="N148" i="43"/>
  <c r="N149" i="43"/>
  <c r="N150" i="43"/>
  <c r="N151" i="43"/>
  <c r="N152" i="43"/>
  <c r="N153" i="43"/>
  <c r="N154" i="43"/>
  <c r="N155" i="43"/>
  <c r="N156" i="43"/>
  <c r="N157" i="43"/>
  <c r="N158" i="43"/>
  <c r="N159" i="43"/>
  <c r="N160" i="43"/>
  <c r="N161" i="43"/>
  <c r="N162" i="43"/>
  <c r="N163" i="43"/>
  <c r="N164" i="43"/>
  <c r="N165" i="43"/>
  <c r="N166" i="43"/>
  <c r="N167" i="43"/>
  <c r="N168" i="43"/>
  <c r="M168" i="43"/>
  <c r="L168" i="43"/>
  <c r="K168" i="43"/>
  <c r="J168" i="43"/>
  <c r="I168" i="43"/>
  <c r="H168" i="43"/>
  <c r="G168" i="43"/>
  <c r="F168" i="43"/>
  <c r="E168" i="43"/>
  <c r="D168" i="43"/>
  <c r="M167" i="43"/>
  <c r="L167" i="43"/>
  <c r="K167" i="43"/>
  <c r="J167" i="43"/>
  <c r="I167" i="43"/>
  <c r="H167" i="43"/>
  <c r="G167" i="43"/>
  <c r="F167" i="43"/>
  <c r="E167" i="43"/>
  <c r="D167" i="43"/>
  <c r="M166" i="43"/>
  <c r="L166" i="43"/>
  <c r="K166" i="43"/>
  <c r="J166" i="43"/>
  <c r="I166" i="43"/>
  <c r="H166" i="43"/>
  <c r="G166" i="43"/>
  <c r="F166" i="43"/>
  <c r="E166" i="43"/>
  <c r="D166" i="43"/>
  <c r="M165" i="43"/>
  <c r="L165" i="43"/>
  <c r="K165" i="43"/>
  <c r="J165" i="43"/>
  <c r="I165" i="43"/>
  <c r="H165" i="43"/>
  <c r="G165" i="43"/>
  <c r="F165" i="43"/>
  <c r="E165" i="43"/>
  <c r="D165" i="43"/>
  <c r="M164" i="43"/>
  <c r="L164" i="43"/>
  <c r="K164" i="43"/>
  <c r="J164" i="43"/>
  <c r="I164" i="43"/>
  <c r="H164" i="43"/>
  <c r="G164" i="43"/>
  <c r="F164" i="43"/>
  <c r="E164" i="43"/>
  <c r="D164" i="43"/>
  <c r="M163" i="43"/>
  <c r="L163" i="43"/>
  <c r="K163" i="43"/>
  <c r="J163" i="43"/>
  <c r="I163" i="43"/>
  <c r="H163" i="43"/>
  <c r="G163" i="43"/>
  <c r="F163" i="43"/>
  <c r="E163" i="43"/>
  <c r="D163" i="43"/>
  <c r="M162" i="43"/>
  <c r="L162" i="43"/>
  <c r="K162" i="43"/>
  <c r="J162" i="43"/>
  <c r="I162" i="43"/>
  <c r="H162" i="43"/>
  <c r="G162" i="43"/>
  <c r="F162" i="43"/>
  <c r="E162" i="43"/>
  <c r="D162" i="43"/>
  <c r="M161" i="43"/>
  <c r="L161" i="43"/>
  <c r="K161" i="43"/>
  <c r="J161" i="43"/>
  <c r="I161" i="43"/>
  <c r="H161" i="43"/>
  <c r="G161" i="43"/>
  <c r="F161" i="43"/>
  <c r="E161" i="43"/>
  <c r="D161" i="43"/>
  <c r="M160" i="43"/>
  <c r="L160" i="43"/>
  <c r="K160" i="43"/>
  <c r="J160" i="43"/>
  <c r="I160" i="43"/>
  <c r="H160" i="43"/>
  <c r="G160" i="43"/>
  <c r="F160" i="43"/>
  <c r="E160" i="43"/>
  <c r="D160" i="43"/>
  <c r="M159" i="43"/>
  <c r="L159" i="43"/>
  <c r="K159" i="43"/>
  <c r="J159" i="43"/>
  <c r="I159" i="43"/>
  <c r="H159" i="43"/>
  <c r="G159" i="43"/>
  <c r="F159" i="43"/>
  <c r="E159" i="43"/>
  <c r="D159" i="43"/>
  <c r="M158" i="43"/>
  <c r="L158" i="43"/>
  <c r="K158" i="43"/>
  <c r="J158" i="43"/>
  <c r="I158" i="43"/>
  <c r="H158" i="43"/>
  <c r="G158" i="43"/>
  <c r="F158" i="43"/>
  <c r="E158" i="43"/>
  <c r="D158" i="43"/>
  <c r="M157" i="43"/>
  <c r="L157" i="43"/>
  <c r="K157" i="43"/>
  <c r="J157" i="43"/>
  <c r="I157" i="43"/>
  <c r="H157" i="43"/>
  <c r="G157" i="43"/>
  <c r="F157" i="43"/>
  <c r="E157" i="43"/>
  <c r="D157" i="43"/>
  <c r="M156" i="43"/>
  <c r="L156" i="43"/>
  <c r="K156" i="43"/>
  <c r="J156" i="43"/>
  <c r="I156" i="43"/>
  <c r="H156" i="43"/>
  <c r="G156" i="43"/>
  <c r="F156" i="43"/>
  <c r="E156" i="43"/>
  <c r="D156" i="43"/>
  <c r="M155" i="43"/>
  <c r="L155" i="43"/>
  <c r="K155" i="43"/>
  <c r="J155" i="43"/>
  <c r="I155" i="43"/>
  <c r="H155" i="43"/>
  <c r="G155" i="43"/>
  <c r="F155" i="43"/>
  <c r="E155" i="43"/>
  <c r="D155" i="43"/>
  <c r="M154" i="43"/>
  <c r="L154" i="43"/>
  <c r="K154" i="43"/>
  <c r="J154" i="43"/>
  <c r="I154" i="43"/>
  <c r="H154" i="43"/>
  <c r="G154" i="43"/>
  <c r="F154" i="43"/>
  <c r="E154" i="43"/>
  <c r="D154" i="43"/>
  <c r="M153" i="43"/>
  <c r="L153" i="43"/>
  <c r="K153" i="43"/>
  <c r="J153" i="43"/>
  <c r="I153" i="43"/>
  <c r="H153" i="43"/>
  <c r="G153" i="43"/>
  <c r="F153" i="43"/>
  <c r="E153" i="43"/>
  <c r="D153" i="43"/>
  <c r="M152" i="43"/>
  <c r="L152" i="43"/>
  <c r="K152" i="43"/>
  <c r="J152" i="43"/>
  <c r="I152" i="43"/>
  <c r="H152" i="43"/>
  <c r="G152" i="43"/>
  <c r="F152" i="43"/>
  <c r="E152" i="43"/>
  <c r="D152" i="43"/>
  <c r="M151" i="43"/>
  <c r="L151" i="43"/>
  <c r="K151" i="43"/>
  <c r="J151" i="43"/>
  <c r="I151" i="43"/>
  <c r="H151" i="43"/>
  <c r="G151" i="43"/>
  <c r="F151" i="43"/>
  <c r="E151" i="43"/>
  <c r="D151" i="43"/>
  <c r="M150" i="43"/>
  <c r="L150" i="43"/>
  <c r="K150" i="43"/>
  <c r="J150" i="43"/>
  <c r="I150" i="43"/>
  <c r="H150" i="43"/>
  <c r="G150" i="43"/>
  <c r="F150" i="43"/>
  <c r="E150" i="43"/>
  <c r="D150" i="43"/>
  <c r="M149" i="43"/>
  <c r="L149" i="43"/>
  <c r="K149" i="43"/>
  <c r="J149" i="43"/>
  <c r="I149" i="43"/>
  <c r="H149" i="43"/>
  <c r="G149" i="43"/>
  <c r="F149" i="43"/>
  <c r="E149" i="43"/>
  <c r="D149" i="43"/>
  <c r="M148" i="43"/>
  <c r="L148" i="43"/>
  <c r="K148" i="43"/>
  <c r="J148" i="43"/>
  <c r="I148" i="43"/>
  <c r="H148" i="43"/>
  <c r="G148" i="43"/>
  <c r="F148" i="43"/>
  <c r="E148" i="43"/>
  <c r="D148" i="43"/>
  <c r="M147" i="43"/>
  <c r="L147" i="43"/>
  <c r="K147" i="43"/>
  <c r="J147" i="43"/>
  <c r="I147" i="43"/>
  <c r="H147" i="43"/>
  <c r="G147" i="43"/>
  <c r="F147" i="43"/>
  <c r="E147" i="43"/>
  <c r="D147" i="43"/>
  <c r="M146" i="43"/>
  <c r="L146" i="43"/>
  <c r="K146" i="43"/>
  <c r="J146" i="43"/>
  <c r="I146" i="43"/>
  <c r="H146" i="43"/>
  <c r="G146" i="43"/>
  <c r="F146" i="43"/>
  <c r="E146" i="43"/>
  <c r="D146" i="43"/>
  <c r="M145" i="43"/>
  <c r="L145" i="43"/>
  <c r="K145" i="43"/>
  <c r="J145" i="43"/>
  <c r="I145" i="43"/>
  <c r="H145" i="43"/>
  <c r="G145" i="43"/>
  <c r="F145" i="43"/>
  <c r="E145" i="43"/>
  <c r="D145" i="43"/>
  <c r="M144" i="43"/>
  <c r="L144" i="43"/>
  <c r="K144" i="43"/>
  <c r="J144" i="43"/>
  <c r="I144" i="43"/>
  <c r="H144" i="43"/>
  <c r="G144" i="43"/>
  <c r="F144" i="43"/>
  <c r="E144" i="43"/>
  <c r="D144" i="43"/>
  <c r="M143" i="43"/>
  <c r="L143" i="43"/>
  <c r="K143" i="43"/>
  <c r="J143" i="43"/>
  <c r="I143" i="43"/>
  <c r="H143" i="43"/>
  <c r="G143" i="43"/>
  <c r="F143" i="43"/>
  <c r="E143" i="43"/>
  <c r="D143" i="43"/>
  <c r="M142" i="43"/>
  <c r="L142" i="43"/>
  <c r="K142" i="43"/>
  <c r="J142" i="43"/>
  <c r="I142" i="43"/>
  <c r="H142" i="43"/>
  <c r="G142" i="43"/>
  <c r="F142" i="43"/>
  <c r="E142" i="43"/>
  <c r="D142" i="43"/>
  <c r="M141" i="43"/>
  <c r="L141" i="43"/>
  <c r="K141" i="43"/>
  <c r="J141" i="43"/>
  <c r="I141" i="43"/>
  <c r="H141" i="43"/>
  <c r="G141" i="43"/>
  <c r="F141" i="43"/>
  <c r="E141" i="43"/>
  <c r="D141" i="43"/>
  <c r="M140" i="43"/>
  <c r="L140" i="43"/>
  <c r="K140" i="43"/>
  <c r="J140" i="43"/>
  <c r="I140" i="43"/>
  <c r="H140" i="43"/>
  <c r="G140" i="43"/>
  <c r="F140" i="43"/>
  <c r="E140" i="43"/>
  <c r="D140" i="43"/>
  <c r="M139" i="43"/>
  <c r="L139" i="43"/>
  <c r="K139" i="43"/>
  <c r="J139" i="43"/>
  <c r="I139" i="43"/>
  <c r="H139" i="43"/>
  <c r="G139" i="43"/>
  <c r="F139" i="43"/>
  <c r="E139" i="43"/>
  <c r="D139" i="43"/>
  <c r="M138" i="43"/>
  <c r="L138" i="43"/>
  <c r="K138" i="43"/>
  <c r="J138" i="43"/>
  <c r="I138" i="43"/>
  <c r="H138" i="43"/>
  <c r="G138" i="43"/>
  <c r="F138" i="43"/>
  <c r="E138" i="43"/>
  <c r="D138" i="43"/>
  <c r="M137" i="43"/>
  <c r="L137" i="43"/>
  <c r="K137" i="43"/>
  <c r="J137" i="43"/>
  <c r="I137" i="43"/>
  <c r="H137" i="43"/>
  <c r="G137" i="43"/>
  <c r="F137" i="43"/>
  <c r="E137" i="43"/>
  <c r="D137" i="43"/>
  <c r="M136" i="43"/>
  <c r="L136" i="43"/>
  <c r="K136" i="43"/>
  <c r="J136" i="43"/>
  <c r="I136" i="43"/>
  <c r="H136" i="43"/>
  <c r="G136" i="43"/>
  <c r="F136" i="43"/>
  <c r="E136" i="43"/>
  <c r="D136" i="43"/>
  <c r="M135" i="43"/>
  <c r="L135" i="43"/>
  <c r="K135" i="43"/>
  <c r="J135" i="43"/>
  <c r="I135" i="43"/>
  <c r="H135" i="43"/>
  <c r="G135" i="43"/>
  <c r="F135" i="43"/>
  <c r="E135" i="43"/>
  <c r="D135" i="43"/>
  <c r="M134" i="43"/>
  <c r="L134" i="43"/>
  <c r="K134" i="43"/>
  <c r="J134" i="43"/>
  <c r="I134" i="43"/>
  <c r="H134" i="43"/>
  <c r="G134" i="43"/>
  <c r="F134" i="43"/>
  <c r="E134" i="43"/>
  <c r="D134" i="43"/>
  <c r="M133" i="43"/>
  <c r="L133" i="43"/>
  <c r="K133" i="43"/>
  <c r="J133" i="43"/>
  <c r="I133" i="43"/>
  <c r="H133" i="43"/>
  <c r="G133" i="43"/>
  <c r="F133" i="43"/>
  <c r="E133" i="43"/>
  <c r="D133" i="43"/>
  <c r="M132" i="43"/>
  <c r="L132" i="43"/>
  <c r="K132" i="43"/>
  <c r="J132" i="43"/>
  <c r="I132" i="43"/>
  <c r="H132" i="43"/>
  <c r="G132" i="43"/>
  <c r="F132" i="43"/>
  <c r="E132" i="43"/>
  <c r="D132" i="43"/>
  <c r="M131" i="43"/>
  <c r="L131" i="43"/>
  <c r="K131" i="43"/>
  <c r="J131" i="43"/>
  <c r="I131" i="43"/>
  <c r="H131" i="43"/>
  <c r="G131" i="43"/>
  <c r="F131" i="43"/>
  <c r="E131" i="43"/>
  <c r="D131" i="43"/>
  <c r="M130" i="43"/>
  <c r="L130" i="43"/>
  <c r="K130" i="43"/>
  <c r="J130" i="43"/>
  <c r="I130" i="43"/>
  <c r="H130" i="43"/>
  <c r="G130" i="43"/>
  <c r="F130" i="43"/>
  <c r="E130" i="43"/>
  <c r="D130" i="43"/>
  <c r="M129" i="43"/>
  <c r="L129" i="43"/>
  <c r="K129" i="43"/>
  <c r="J129" i="43"/>
  <c r="I129" i="43"/>
  <c r="H129" i="43"/>
  <c r="G129" i="43"/>
  <c r="F129" i="43"/>
  <c r="E129" i="43"/>
  <c r="D129" i="43"/>
  <c r="M128" i="43"/>
  <c r="L128" i="43"/>
  <c r="K128" i="43"/>
  <c r="J128" i="43"/>
  <c r="I128" i="43"/>
  <c r="H128" i="43"/>
  <c r="G128" i="43"/>
  <c r="F128" i="43"/>
  <c r="E128" i="43"/>
  <c r="D128" i="43"/>
  <c r="M127" i="43"/>
  <c r="L127" i="43"/>
  <c r="K127" i="43"/>
  <c r="J127" i="43"/>
  <c r="I127" i="43"/>
  <c r="H127" i="43"/>
  <c r="G127" i="43"/>
  <c r="F127" i="43"/>
  <c r="E127" i="43"/>
  <c r="D127" i="43"/>
  <c r="M126" i="43"/>
  <c r="L126" i="43"/>
  <c r="K126" i="43"/>
  <c r="J126" i="43"/>
  <c r="I126" i="43"/>
  <c r="H126" i="43"/>
  <c r="G126" i="43"/>
  <c r="F126" i="43"/>
  <c r="E126" i="43"/>
  <c r="D126" i="43"/>
  <c r="M125" i="43"/>
  <c r="L125" i="43"/>
  <c r="K125" i="43"/>
  <c r="J125" i="43"/>
  <c r="I125" i="43"/>
  <c r="H125" i="43"/>
  <c r="G125" i="43"/>
  <c r="F125" i="43"/>
  <c r="E125" i="43"/>
  <c r="D125" i="43"/>
  <c r="M124" i="43"/>
  <c r="L124" i="43"/>
  <c r="K124" i="43"/>
  <c r="J124" i="43"/>
  <c r="I124" i="43"/>
  <c r="H124" i="43"/>
  <c r="G124" i="43"/>
  <c r="F124" i="43"/>
  <c r="E124" i="43"/>
  <c r="D124" i="43"/>
  <c r="M123" i="43"/>
  <c r="L123" i="43"/>
  <c r="K123" i="43"/>
  <c r="J123" i="43"/>
  <c r="I123" i="43"/>
  <c r="H123" i="43"/>
  <c r="G123" i="43"/>
  <c r="F123" i="43"/>
  <c r="E123" i="43"/>
  <c r="D123" i="43"/>
  <c r="M122" i="43"/>
  <c r="L122" i="43"/>
  <c r="K122" i="43"/>
  <c r="J122" i="43"/>
  <c r="I122" i="43"/>
  <c r="H122" i="43"/>
  <c r="G122" i="43"/>
  <c r="F122" i="43"/>
  <c r="E122" i="43"/>
  <c r="D122" i="43"/>
  <c r="M121" i="43"/>
  <c r="L121" i="43"/>
  <c r="K121" i="43"/>
  <c r="J121" i="43"/>
  <c r="I121" i="43"/>
  <c r="H121" i="43"/>
  <c r="G121" i="43"/>
  <c r="F121" i="43"/>
  <c r="E121" i="43"/>
  <c r="D121" i="43"/>
  <c r="M120" i="43"/>
  <c r="L120" i="43"/>
  <c r="K120" i="43"/>
  <c r="J120" i="43"/>
  <c r="I120" i="43"/>
  <c r="H120" i="43"/>
  <c r="G120" i="43"/>
  <c r="F120" i="43"/>
  <c r="E120" i="43"/>
  <c r="D120" i="43"/>
  <c r="M119" i="43"/>
  <c r="L119" i="43"/>
  <c r="K119" i="43"/>
  <c r="J119" i="43"/>
  <c r="I119" i="43"/>
  <c r="H119" i="43"/>
  <c r="G119" i="43"/>
  <c r="F119" i="43"/>
  <c r="E119" i="43"/>
  <c r="D119" i="43"/>
  <c r="M118" i="43"/>
  <c r="L118" i="43"/>
  <c r="K118" i="43"/>
  <c r="J118" i="43"/>
  <c r="I118" i="43"/>
  <c r="H118" i="43"/>
  <c r="G118" i="43"/>
  <c r="F118" i="43"/>
  <c r="E118" i="43"/>
  <c r="D118" i="43"/>
  <c r="M117" i="43"/>
  <c r="L117" i="43"/>
  <c r="K117" i="43"/>
  <c r="J117" i="43"/>
  <c r="I117" i="43"/>
  <c r="H117" i="43"/>
  <c r="G117" i="43"/>
  <c r="F117" i="43"/>
  <c r="E117" i="43"/>
  <c r="D117" i="43"/>
  <c r="M116" i="43"/>
  <c r="L116" i="43"/>
  <c r="K116" i="43"/>
  <c r="J116" i="43"/>
  <c r="I116" i="43"/>
  <c r="H116" i="43"/>
  <c r="G116" i="43"/>
  <c r="F116" i="43"/>
  <c r="E116" i="43"/>
  <c r="D116" i="43"/>
  <c r="M115" i="43"/>
  <c r="L115" i="43"/>
  <c r="K115" i="43"/>
  <c r="J115" i="43"/>
  <c r="I115" i="43"/>
  <c r="H115" i="43"/>
  <c r="G115" i="43"/>
  <c r="F115" i="43"/>
  <c r="E115" i="43"/>
  <c r="D115" i="43"/>
  <c r="M114" i="43"/>
  <c r="L114" i="43"/>
  <c r="K114" i="43"/>
  <c r="J114" i="43"/>
  <c r="I114" i="43"/>
  <c r="H114" i="43"/>
  <c r="G114" i="43"/>
  <c r="F114" i="43"/>
  <c r="E114" i="43"/>
  <c r="D114" i="43"/>
  <c r="M113" i="43"/>
  <c r="L113" i="43"/>
  <c r="K113" i="43"/>
  <c r="J113" i="43"/>
  <c r="I113" i="43"/>
  <c r="H113" i="43"/>
  <c r="G113" i="43"/>
  <c r="F113" i="43"/>
  <c r="E113" i="43"/>
  <c r="D113" i="43"/>
  <c r="M112" i="43"/>
  <c r="L112" i="43"/>
  <c r="K112" i="43"/>
  <c r="J112" i="43"/>
  <c r="I112" i="43"/>
  <c r="H112" i="43"/>
  <c r="G112" i="43"/>
  <c r="F112" i="43"/>
  <c r="E112" i="43"/>
  <c r="D112" i="43"/>
  <c r="M111" i="43"/>
  <c r="L111" i="43"/>
  <c r="K111" i="43"/>
  <c r="J111" i="43"/>
  <c r="I111" i="43"/>
  <c r="H111" i="43"/>
  <c r="G111" i="43"/>
  <c r="F111" i="43"/>
  <c r="E111" i="43"/>
  <c r="D111" i="43"/>
  <c r="M110" i="43"/>
  <c r="L110" i="43"/>
  <c r="K110" i="43"/>
  <c r="J110" i="43"/>
  <c r="I110" i="43"/>
  <c r="H110" i="43"/>
  <c r="G110" i="43"/>
  <c r="F110" i="43"/>
  <c r="E110" i="43"/>
  <c r="D110" i="43"/>
  <c r="M109" i="43"/>
  <c r="L109" i="43"/>
  <c r="K109" i="43"/>
  <c r="J109" i="43"/>
  <c r="I109" i="43"/>
  <c r="H109" i="43"/>
  <c r="G109" i="43"/>
  <c r="F109" i="43"/>
  <c r="E109" i="43"/>
  <c r="D109" i="43"/>
  <c r="M108" i="43"/>
  <c r="L108" i="43"/>
  <c r="K108" i="43"/>
  <c r="J108" i="43"/>
  <c r="I108" i="43"/>
  <c r="H108" i="43"/>
  <c r="G108" i="43"/>
  <c r="F108" i="43"/>
  <c r="E108" i="43"/>
  <c r="D108" i="43"/>
  <c r="M107" i="43"/>
  <c r="L107" i="43"/>
  <c r="K107" i="43"/>
  <c r="J107" i="43"/>
  <c r="I107" i="43"/>
  <c r="H107" i="43"/>
  <c r="G107" i="43"/>
  <c r="F107" i="43"/>
  <c r="E107" i="43"/>
  <c r="D107" i="43"/>
  <c r="M106" i="43"/>
  <c r="L106" i="43"/>
  <c r="K106" i="43"/>
  <c r="J106" i="43"/>
  <c r="I106" i="43"/>
  <c r="H106" i="43"/>
  <c r="G106" i="43"/>
  <c r="F106" i="43"/>
  <c r="E106" i="43"/>
  <c r="D106" i="43"/>
  <c r="M105" i="43"/>
  <c r="L105" i="43"/>
  <c r="K105" i="43"/>
  <c r="J105" i="43"/>
  <c r="I105" i="43"/>
  <c r="H105" i="43"/>
  <c r="G105" i="43"/>
  <c r="F105" i="43"/>
  <c r="E105" i="43"/>
  <c r="D105" i="43"/>
  <c r="M104" i="43"/>
  <c r="L104" i="43"/>
  <c r="K104" i="43"/>
  <c r="J104" i="43"/>
  <c r="I104" i="43"/>
  <c r="H104" i="43"/>
  <c r="G104" i="43"/>
  <c r="F104" i="43"/>
  <c r="E104" i="43"/>
  <c r="D104" i="43"/>
  <c r="M103" i="43"/>
  <c r="L103" i="43"/>
  <c r="K103" i="43"/>
  <c r="J103" i="43"/>
  <c r="I103" i="43"/>
  <c r="H103" i="43"/>
  <c r="G103" i="43"/>
  <c r="F103" i="43"/>
  <c r="E103" i="43"/>
  <c r="D103" i="43"/>
  <c r="M102" i="43"/>
  <c r="L102" i="43"/>
  <c r="K102" i="43"/>
  <c r="J102" i="43"/>
  <c r="I102" i="43"/>
  <c r="H102" i="43"/>
  <c r="G102" i="43"/>
  <c r="F102" i="43"/>
  <c r="E102" i="43"/>
  <c r="D102" i="43"/>
  <c r="M101" i="43"/>
  <c r="L101" i="43"/>
  <c r="K101" i="43"/>
  <c r="J101" i="43"/>
  <c r="I101" i="43"/>
  <c r="H101" i="43"/>
  <c r="G101" i="43"/>
  <c r="F101" i="43"/>
  <c r="E101" i="43"/>
  <c r="D101" i="43"/>
  <c r="M100" i="43"/>
  <c r="L100" i="43"/>
  <c r="K100" i="43"/>
  <c r="J100" i="43"/>
  <c r="I100" i="43"/>
  <c r="H100" i="43"/>
  <c r="G100" i="43"/>
  <c r="F100" i="43"/>
  <c r="E100" i="43"/>
  <c r="D100" i="43"/>
  <c r="M99" i="43"/>
  <c r="L99" i="43"/>
  <c r="K99" i="43"/>
  <c r="J99" i="43"/>
  <c r="I99" i="43"/>
  <c r="H99" i="43"/>
  <c r="G99" i="43"/>
  <c r="F99" i="43"/>
  <c r="E99" i="43"/>
  <c r="D99" i="43"/>
  <c r="M98" i="43"/>
  <c r="L98" i="43"/>
  <c r="K98" i="43"/>
  <c r="J98" i="43"/>
  <c r="I98" i="43"/>
  <c r="H98" i="43"/>
  <c r="G98" i="43"/>
  <c r="F98" i="43"/>
  <c r="E98" i="43"/>
  <c r="D98" i="43"/>
  <c r="M97" i="43"/>
  <c r="L97" i="43"/>
  <c r="K97" i="43"/>
  <c r="J97" i="43"/>
  <c r="I97" i="43"/>
  <c r="H97" i="43"/>
  <c r="G97" i="43"/>
  <c r="F97" i="43"/>
  <c r="E97" i="43"/>
  <c r="D97" i="43"/>
  <c r="M96" i="43"/>
  <c r="L96" i="43"/>
  <c r="K96" i="43"/>
  <c r="J96" i="43"/>
  <c r="I96" i="43"/>
  <c r="H96" i="43"/>
  <c r="G96" i="43"/>
  <c r="F96" i="43"/>
  <c r="E96" i="43"/>
  <c r="D96" i="43"/>
  <c r="M95" i="43"/>
  <c r="L95" i="43"/>
  <c r="K95" i="43"/>
  <c r="J95" i="43"/>
  <c r="I95" i="43"/>
  <c r="H95" i="43"/>
  <c r="G95" i="43"/>
  <c r="F95" i="43"/>
  <c r="E95" i="43"/>
  <c r="D95" i="43"/>
  <c r="M94" i="43"/>
  <c r="L94" i="43"/>
  <c r="K94" i="43"/>
  <c r="J94" i="43"/>
  <c r="I94" i="43"/>
  <c r="H94" i="43"/>
  <c r="G94" i="43"/>
  <c r="F94" i="43"/>
  <c r="E94" i="43"/>
  <c r="D94" i="43"/>
  <c r="M93" i="43"/>
  <c r="L93" i="43"/>
  <c r="K93" i="43"/>
  <c r="J93" i="43"/>
  <c r="I93" i="43"/>
  <c r="H93" i="43"/>
  <c r="G93" i="43"/>
  <c r="F93" i="43"/>
  <c r="E93" i="43"/>
  <c r="D93" i="43"/>
  <c r="M92" i="43"/>
  <c r="L92" i="43"/>
  <c r="K92" i="43"/>
  <c r="J92" i="43"/>
  <c r="I92" i="43"/>
  <c r="H92" i="43"/>
  <c r="G92" i="43"/>
  <c r="F92" i="43"/>
  <c r="E92" i="43"/>
  <c r="D92" i="43"/>
  <c r="M91" i="43"/>
  <c r="L91" i="43"/>
  <c r="K91" i="43"/>
  <c r="J91" i="43"/>
  <c r="I91" i="43"/>
  <c r="H91" i="43"/>
  <c r="G91" i="43"/>
  <c r="F91" i="43"/>
  <c r="E91" i="43"/>
  <c r="D91" i="43"/>
  <c r="M90" i="43"/>
  <c r="L90" i="43"/>
  <c r="K90" i="43"/>
  <c r="J90" i="43"/>
  <c r="I90" i="43"/>
  <c r="H90" i="43"/>
  <c r="G90" i="43"/>
  <c r="F90" i="43"/>
  <c r="E90" i="43"/>
  <c r="D90" i="43"/>
  <c r="M89" i="43"/>
  <c r="L89" i="43"/>
  <c r="K89" i="43"/>
  <c r="J89" i="43"/>
  <c r="I89" i="43"/>
  <c r="H89" i="43"/>
  <c r="G89" i="43"/>
  <c r="F89" i="43"/>
  <c r="E89" i="43"/>
  <c r="D89" i="43"/>
  <c r="M88" i="43"/>
  <c r="L88" i="43"/>
  <c r="K88" i="43"/>
  <c r="J88" i="43"/>
  <c r="I88" i="43"/>
  <c r="H88" i="43"/>
  <c r="G88" i="43"/>
  <c r="F88" i="43"/>
  <c r="E88" i="43"/>
  <c r="D88" i="43"/>
  <c r="M87" i="43"/>
  <c r="L87" i="43"/>
  <c r="K87" i="43"/>
  <c r="J87" i="43"/>
  <c r="I87" i="43"/>
  <c r="H87" i="43"/>
  <c r="G87" i="43"/>
  <c r="F87" i="43"/>
  <c r="E87" i="43"/>
  <c r="D87" i="43"/>
  <c r="M86" i="43"/>
  <c r="L86" i="43"/>
  <c r="K86" i="43"/>
  <c r="J86" i="43"/>
  <c r="I86" i="43"/>
  <c r="H86" i="43"/>
  <c r="G86" i="43"/>
  <c r="F86" i="43"/>
  <c r="E86" i="43"/>
  <c r="D86" i="43"/>
  <c r="M85" i="43"/>
  <c r="L85" i="43"/>
  <c r="K85" i="43"/>
  <c r="J85" i="43"/>
  <c r="I85" i="43"/>
  <c r="H85" i="43"/>
  <c r="G85" i="43"/>
  <c r="F85" i="43"/>
  <c r="E85" i="43"/>
  <c r="D85" i="43"/>
  <c r="M84" i="43"/>
  <c r="L84" i="43"/>
  <c r="K84" i="43"/>
  <c r="J84" i="43"/>
  <c r="I84" i="43"/>
  <c r="H84" i="43"/>
  <c r="G84" i="43"/>
  <c r="F84" i="43"/>
  <c r="E84" i="43"/>
  <c r="D84" i="43"/>
  <c r="M83" i="43"/>
  <c r="L83" i="43"/>
  <c r="K83" i="43"/>
  <c r="J83" i="43"/>
  <c r="I83" i="43"/>
  <c r="H83" i="43"/>
  <c r="G83" i="43"/>
  <c r="F83" i="43"/>
  <c r="E83" i="43"/>
  <c r="D83" i="43"/>
  <c r="M82" i="43"/>
  <c r="L82" i="43"/>
  <c r="K82" i="43"/>
  <c r="J82" i="43"/>
  <c r="I82" i="43"/>
  <c r="H82" i="43"/>
  <c r="G82" i="43"/>
  <c r="F82" i="43"/>
  <c r="E82" i="43"/>
  <c r="D82" i="43"/>
  <c r="M81" i="43"/>
  <c r="L81" i="43"/>
  <c r="K81" i="43"/>
  <c r="J81" i="43"/>
  <c r="I81" i="43"/>
  <c r="H81" i="43"/>
  <c r="G81" i="43"/>
  <c r="F81" i="43"/>
  <c r="E81" i="43"/>
  <c r="D81" i="43"/>
  <c r="M80" i="43"/>
  <c r="L80" i="43"/>
  <c r="K80" i="43"/>
  <c r="J80" i="43"/>
  <c r="I80" i="43"/>
  <c r="H80" i="43"/>
  <c r="G80" i="43"/>
  <c r="F80" i="43"/>
  <c r="E80" i="43"/>
  <c r="D80" i="43"/>
  <c r="M79" i="43"/>
  <c r="L79" i="43"/>
  <c r="K79" i="43"/>
  <c r="J79" i="43"/>
  <c r="I79" i="43"/>
  <c r="H79" i="43"/>
  <c r="G79" i="43"/>
  <c r="F79" i="43"/>
  <c r="E79" i="43"/>
  <c r="D79" i="43"/>
  <c r="M78" i="43"/>
  <c r="L78" i="43"/>
  <c r="K78" i="43"/>
  <c r="J78" i="43"/>
  <c r="I78" i="43"/>
  <c r="H78" i="43"/>
  <c r="G78" i="43"/>
  <c r="F78" i="43"/>
  <c r="E78" i="43"/>
  <c r="D78" i="43"/>
  <c r="M77" i="43"/>
  <c r="L77" i="43"/>
  <c r="K77" i="43"/>
  <c r="J77" i="43"/>
  <c r="I77" i="43"/>
  <c r="H77" i="43"/>
  <c r="G77" i="43"/>
  <c r="F77" i="43"/>
  <c r="E77" i="43"/>
  <c r="D77" i="43"/>
  <c r="M76" i="43"/>
  <c r="L76" i="43"/>
  <c r="K76" i="43"/>
  <c r="J76" i="43"/>
  <c r="I76" i="43"/>
  <c r="H76" i="43"/>
  <c r="G76" i="43"/>
  <c r="F76" i="43"/>
  <c r="E76" i="43"/>
  <c r="D76" i="43"/>
  <c r="M75" i="43"/>
  <c r="L75" i="43"/>
  <c r="K75" i="43"/>
  <c r="J75" i="43"/>
  <c r="I75" i="43"/>
  <c r="H75" i="43"/>
  <c r="G75" i="43"/>
  <c r="F75" i="43"/>
  <c r="E75" i="43"/>
  <c r="D75" i="43"/>
  <c r="M74" i="43"/>
  <c r="L74" i="43"/>
  <c r="K74" i="43"/>
  <c r="J74" i="43"/>
  <c r="I74" i="43"/>
  <c r="H74" i="43"/>
  <c r="G74" i="43"/>
  <c r="F74" i="43"/>
  <c r="E74" i="43"/>
  <c r="D74" i="43"/>
  <c r="M73" i="43"/>
  <c r="L73" i="43"/>
  <c r="K73" i="43"/>
  <c r="J73" i="43"/>
  <c r="I73" i="43"/>
  <c r="H73" i="43"/>
  <c r="G73" i="43"/>
  <c r="F73" i="43"/>
  <c r="E73" i="43"/>
  <c r="D73" i="43"/>
  <c r="M72" i="43"/>
  <c r="L72" i="43"/>
  <c r="K72" i="43"/>
  <c r="J72" i="43"/>
  <c r="I72" i="43"/>
  <c r="H72" i="43"/>
  <c r="G72" i="43"/>
  <c r="F72" i="43"/>
  <c r="E72" i="43"/>
  <c r="D72" i="43"/>
  <c r="M71" i="43"/>
  <c r="L71" i="43"/>
  <c r="K71" i="43"/>
  <c r="J71" i="43"/>
  <c r="I71" i="43"/>
  <c r="H71" i="43"/>
  <c r="G71" i="43"/>
  <c r="F71" i="43"/>
  <c r="E71" i="43"/>
  <c r="D71" i="43"/>
  <c r="M70" i="43"/>
  <c r="L70" i="43"/>
  <c r="K70" i="43"/>
  <c r="J70" i="43"/>
  <c r="I70" i="43"/>
  <c r="H70" i="43"/>
  <c r="G70" i="43"/>
  <c r="F70" i="43"/>
  <c r="E70" i="43"/>
  <c r="D70" i="43"/>
  <c r="M69" i="43"/>
  <c r="L69" i="43"/>
  <c r="K69" i="43"/>
  <c r="J69" i="43"/>
  <c r="I69" i="43"/>
  <c r="H69" i="43"/>
  <c r="G69" i="43"/>
  <c r="F69" i="43"/>
  <c r="E69" i="43"/>
  <c r="D69" i="43"/>
  <c r="M68" i="43"/>
  <c r="L68" i="43"/>
  <c r="K68" i="43"/>
  <c r="J68" i="43"/>
  <c r="I68" i="43"/>
  <c r="H68" i="43"/>
  <c r="G68" i="43"/>
  <c r="F68" i="43"/>
  <c r="E68" i="43"/>
  <c r="D68" i="43"/>
  <c r="M66" i="43"/>
  <c r="L66" i="43"/>
  <c r="K66" i="43"/>
  <c r="J66" i="43"/>
  <c r="I66" i="43"/>
  <c r="H66" i="43"/>
  <c r="G66" i="43"/>
  <c r="F66" i="43"/>
  <c r="E66" i="43"/>
  <c r="D66" i="43"/>
  <c r="M65" i="43"/>
  <c r="L65" i="43"/>
  <c r="K65" i="43"/>
  <c r="J65" i="43"/>
  <c r="I65" i="43"/>
  <c r="H65" i="43"/>
  <c r="G65" i="43"/>
  <c r="F65" i="43"/>
  <c r="E65" i="43"/>
  <c r="D65" i="43"/>
  <c r="M64" i="43"/>
  <c r="L64" i="43"/>
  <c r="K64" i="43"/>
  <c r="J64" i="43"/>
  <c r="I64" i="43"/>
  <c r="H64" i="43"/>
  <c r="G64" i="43"/>
  <c r="F64" i="43"/>
  <c r="E64" i="43"/>
  <c r="D64" i="43"/>
  <c r="M63" i="43"/>
  <c r="L63" i="43"/>
  <c r="K63" i="43"/>
  <c r="J63" i="43"/>
  <c r="I63" i="43"/>
  <c r="H63" i="43"/>
  <c r="G63" i="43"/>
  <c r="F63" i="43"/>
  <c r="E63" i="43"/>
  <c r="D63" i="43"/>
  <c r="M62" i="43"/>
  <c r="L62" i="43"/>
  <c r="K62" i="43"/>
  <c r="J62" i="43"/>
  <c r="I62" i="43"/>
  <c r="H62" i="43"/>
  <c r="G62" i="43"/>
  <c r="F62" i="43"/>
  <c r="E62" i="43"/>
  <c r="D62" i="43"/>
  <c r="M61" i="43"/>
  <c r="L61" i="43"/>
  <c r="K61" i="43"/>
  <c r="J61" i="43"/>
  <c r="I61" i="43"/>
  <c r="H61" i="43"/>
  <c r="G61" i="43"/>
  <c r="F61" i="43"/>
  <c r="E61" i="43"/>
  <c r="D61" i="43"/>
  <c r="M60" i="43"/>
  <c r="L60" i="43"/>
  <c r="K60" i="43"/>
  <c r="J60" i="43"/>
  <c r="I60" i="43"/>
  <c r="H60" i="43"/>
  <c r="G60" i="43"/>
  <c r="F60" i="43"/>
  <c r="E60" i="43"/>
  <c r="D60" i="43"/>
  <c r="M59" i="43"/>
  <c r="L59" i="43"/>
  <c r="K59" i="43"/>
  <c r="J59" i="43"/>
  <c r="I59" i="43"/>
  <c r="H59" i="43"/>
  <c r="G59" i="43"/>
  <c r="F59" i="43"/>
  <c r="E59" i="43"/>
  <c r="D59" i="43"/>
  <c r="M58" i="43"/>
  <c r="L58" i="43"/>
  <c r="K58" i="43"/>
  <c r="J58" i="43"/>
  <c r="I58" i="43"/>
  <c r="H58" i="43"/>
  <c r="G58" i="43"/>
  <c r="F58" i="43"/>
  <c r="E58" i="43"/>
  <c r="D58" i="43"/>
  <c r="M57" i="43"/>
  <c r="L57" i="43"/>
  <c r="K57" i="43"/>
  <c r="J57" i="43"/>
  <c r="I57" i="43"/>
  <c r="H57" i="43"/>
  <c r="G57" i="43"/>
  <c r="F57" i="43"/>
  <c r="E57" i="43"/>
  <c r="D57" i="43"/>
  <c r="M56" i="43"/>
  <c r="L56" i="43"/>
  <c r="K56" i="43"/>
  <c r="J56" i="43"/>
  <c r="I56" i="43"/>
  <c r="H56" i="43"/>
  <c r="G56" i="43"/>
  <c r="F56" i="43"/>
  <c r="E56" i="43"/>
  <c r="D56" i="43"/>
  <c r="M55" i="43"/>
  <c r="L55" i="43"/>
  <c r="K55" i="43"/>
  <c r="J55" i="43"/>
  <c r="I55" i="43"/>
  <c r="H55" i="43"/>
  <c r="G55" i="43"/>
  <c r="F55" i="43"/>
  <c r="E55" i="43"/>
  <c r="D55" i="43"/>
  <c r="M54" i="43"/>
  <c r="L54" i="43"/>
  <c r="K54" i="43"/>
  <c r="J54" i="43"/>
  <c r="I54" i="43"/>
  <c r="H54" i="43"/>
  <c r="G54" i="43"/>
  <c r="F54" i="43"/>
  <c r="E54" i="43"/>
  <c r="D54" i="43"/>
  <c r="M53" i="43"/>
  <c r="L53" i="43"/>
  <c r="K53" i="43"/>
  <c r="J53" i="43"/>
  <c r="I53" i="43"/>
  <c r="H53" i="43"/>
  <c r="G53" i="43"/>
  <c r="F53" i="43"/>
  <c r="E53" i="43"/>
  <c r="D53" i="43"/>
  <c r="M52" i="43"/>
  <c r="L52" i="43"/>
  <c r="K52" i="43"/>
  <c r="J52" i="43"/>
  <c r="I52" i="43"/>
  <c r="H52" i="43"/>
  <c r="G52" i="43"/>
  <c r="F52" i="43"/>
  <c r="E52" i="43"/>
  <c r="D52" i="43"/>
  <c r="M51" i="43"/>
  <c r="L51" i="43"/>
  <c r="K51" i="43"/>
  <c r="J51" i="43"/>
  <c r="I51" i="43"/>
  <c r="H51" i="43"/>
  <c r="G51" i="43"/>
  <c r="F51" i="43"/>
  <c r="E51" i="43"/>
  <c r="D51" i="43"/>
  <c r="M50" i="43"/>
  <c r="L50" i="43"/>
  <c r="K50" i="43"/>
  <c r="J50" i="43"/>
  <c r="I50" i="43"/>
  <c r="H50" i="43"/>
  <c r="G50" i="43"/>
  <c r="F50" i="43"/>
  <c r="E50" i="43"/>
  <c r="D50" i="43"/>
  <c r="M49" i="43"/>
  <c r="L49" i="43"/>
  <c r="K49" i="43"/>
  <c r="J49" i="43"/>
  <c r="I49" i="43"/>
  <c r="H49" i="43"/>
  <c r="G49" i="43"/>
  <c r="F49" i="43"/>
  <c r="E49" i="43"/>
  <c r="D49" i="43"/>
  <c r="M48" i="43"/>
  <c r="L48" i="43"/>
  <c r="K48" i="43"/>
  <c r="J48" i="43"/>
  <c r="I48" i="43"/>
  <c r="H48" i="43"/>
  <c r="G48" i="43"/>
  <c r="F48" i="43"/>
  <c r="E48" i="43"/>
  <c r="D48" i="43"/>
  <c r="M47" i="43"/>
  <c r="L47" i="43"/>
  <c r="K47" i="43"/>
  <c r="J47" i="43"/>
  <c r="I47" i="43"/>
  <c r="H47" i="43"/>
  <c r="G47" i="43"/>
  <c r="F47" i="43"/>
  <c r="E47" i="43"/>
  <c r="D47" i="43"/>
  <c r="M46" i="43"/>
  <c r="L46" i="43"/>
  <c r="K46" i="43"/>
  <c r="J46" i="43"/>
  <c r="I46" i="43"/>
  <c r="H46" i="43"/>
  <c r="G46" i="43"/>
  <c r="F46" i="43"/>
  <c r="E46" i="43"/>
  <c r="D46" i="43"/>
  <c r="M45" i="43"/>
  <c r="L45" i="43"/>
  <c r="K45" i="43"/>
  <c r="J45" i="43"/>
  <c r="I45" i="43"/>
  <c r="H45" i="43"/>
  <c r="G45" i="43"/>
  <c r="F45" i="43"/>
  <c r="E45" i="43"/>
  <c r="D45" i="43"/>
  <c r="M44" i="43"/>
  <c r="L44" i="43"/>
  <c r="K44" i="43"/>
  <c r="J44" i="43"/>
  <c r="I44" i="43"/>
  <c r="H44" i="43"/>
  <c r="G44" i="43"/>
  <c r="F44" i="43"/>
  <c r="E44" i="43"/>
  <c r="D44" i="43"/>
  <c r="M43" i="43"/>
  <c r="L43" i="43"/>
  <c r="K43" i="43"/>
  <c r="J43" i="43"/>
  <c r="I43" i="43"/>
  <c r="H43" i="43"/>
  <c r="G43" i="43"/>
  <c r="F43" i="43"/>
  <c r="E43" i="43"/>
  <c r="D43" i="43"/>
  <c r="M42" i="43"/>
  <c r="L42" i="43"/>
  <c r="K42" i="43"/>
  <c r="J42" i="43"/>
  <c r="I42" i="43"/>
  <c r="H42" i="43"/>
  <c r="G42" i="43"/>
  <c r="F42" i="43"/>
  <c r="E42" i="43"/>
  <c r="D42" i="43"/>
  <c r="M41" i="43"/>
  <c r="L41" i="43"/>
  <c r="K41" i="43"/>
  <c r="J41" i="43"/>
  <c r="I41" i="43"/>
  <c r="H41" i="43"/>
  <c r="G41" i="43"/>
  <c r="F41" i="43"/>
  <c r="E41" i="43"/>
  <c r="D41" i="43"/>
  <c r="M40" i="43"/>
  <c r="L40" i="43"/>
  <c r="K40" i="43"/>
  <c r="J40" i="43"/>
  <c r="I40" i="43"/>
  <c r="H40" i="43"/>
  <c r="G40" i="43"/>
  <c r="F40" i="43"/>
  <c r="E40" i="43"/>
  <c r="D40" i="43"/>
  <c r="M39" i="43"/>
  <c r="L39" i="43"/>
  <c r="K39" i="43"/>
  <c r="J39" i="43"/>
  <c r="I39" i="43"/>
  <c r="H39" i="43"/>
  <c r="G39" i="43"/>
  <c r="F39" i="43"/>
  <c r="E39" i="43"/>
  <c r="D39" i="43"/>
  <c r="M38" i="43"/>
  <c r="L38" i="43"/>
  <c r="K38" i="43"/>
  <c r="J38" i="43"/>
  <c r="I38" i="43"/>
  <c r="H38" i="43"/>
  <c r="G38" i="43"/>
  <c r="F38" i="43"/>
  <c r="E38" i="43"/>
  <c r="D38" i="43"/>
  <c r="M37" i="43"/>
  <c r="L37" i="43"/>
  <c r="K37" i="43"/>
  <c r="J37" i="43"/>
  <c r="I37" i="43"/>
  <c r="H37" i="43"/>
  <c r="G37" i="43"/>
  <c r="F37" i="43"/>
  <c r="E37" i="43"/>
  <c r="D37" i="43"/>
  <c r="M36" i="43"/>
  <c r="L36" i="43"/>
  <c r="K36" i="43"/>
  <c r="J36" i="43"/>
  <c r="I36" i="43"/>
  <c r="H36" i="43"/>
  <c r="G36" i="43"/>
  <c r="F36" i="43"/>
  <c r="E36" i="43"/>
  <c r="D36" i="43"/>
  <c r="M35" i="43"/>
  <c r="L35" i="43"/>
  <c r="K35" i="43"/>
  <c r="J35" i="43"/>
  <c r="I35" i="43"/>
  <c r="H35" i="43"/>
  <c r="G35" i="43"/>
  <c r="F35" i="43"/>
  <c r="E35" i="43"/>
  <c r="D35" i="43"/>
  <c r="M34" i="43"/>
  <c r="L34" i="43"/>
  <c r="K34" i="43"/>
  <c r="J34" i="43"/>
  <c r="I34" i="43"/>
  <c r="H34" i="43"/>
  <c r="G34" i="43"/>
  <c r="F34" i="43"/>
  <c r="E34" i="43"/>
  <c r="D34" i="43"/>
  <c r="M33" i="43"/>
  <c r="L33" i="43"/>
  <c r="K33" i="43"/>
  <c r="J33" i="43"/>
  <c r="I33" i="43"/>
  <c r="H33" i="43"/>
  <c r="G33" i="43"/>
  <c r="F33" i="43"/>
  <c r="E33" i="43"/>
  <c r="D33" i="43"/>
  <c r="M32" i="43"/>
  <c r="L32" i="43"/>
  <c r="K32" i="43"/>
  <c r="J32" i="43"/>
  <c r="I32" i="43"/>
  <c r="H32" i="43"/>
  <c r="G32" i="43"/>
  <c r="F32" i="43"/>
  <c r="E32" i="43"/>
  <c r="D32" i="43"/>
  <c r="M31" i="43"/>
  <c r="L31" i="43"/>
  <c r="K31" i="43"/>
  <c r="J31" i="43"/>
  <c r="I31" i="43"/>
  <c r="H31" i="43"/>
  <c r="G31" i="43"/>
  <c r="F31" i="43"/>
  <c r="E31" i="43"/>
  <c r="D31" i="43"/>
  <c r="M30" i="43"/>
  <c r="L30" i="43"/>
  <c r="K30" i="43"/>
  <c r="J30" i="43"/>
  <c r="I30" i="43"/>
  <c r="H30" i="43"/>
  <c r="G30" i="43"/>
  <c r="F30" i="43"/>
  <c r="E30" i="43"/>
  <c r="D30" i="43"/>
  <c r="M29" i="43"/>
  <c r="L29" i="43"/>
  <c r="K29" i="43"/>
  <c r="J29" i="43"/>
  <c r="I29" i="43"/>
  <c r="H29" i="43"/>
  <c r="G29" i="43"/>
  <c r="F29" i="43"/>
  <c r="E29" i="43"/>
  <c r="D29" i="43"/>
  <c r="M28" i="43"/>
  <c r="L28" i="43"/>
  <c r="K28" i="43"/>
  <c r="J28" i="43"/>
  <c r="I28" i="43"/>
  <c r="H28" i="43"/>
  <c r="G28" i="43"/>
  <c r="F28" i="43"/>
  <c r="E28" i="43"/>
  <c r="D28" i="43"/>
  <c r="M27" i="43"/>
  <c r="L27" i="43"/>
  <c r="K27" i="43"/>
  <c r="J27" i="43"/>
  <c r="I27" i="43"/>
  <c r="H27" i="43"/>
  <c r="G27" i="43"/>
  <c r="F27" i="43"/>
  <c r="E27" i="43"/>
  <c r="D27" i="43"/>
  <c r="M26" i="43"/>
  <c r="L26" i="43"/>
  <c r="K26" i="43"/>
  <c r="J26" i="43"/>
  <c r="I26" i="43"/>
  <c r="H26" i="43"/>
  <c r="G26" i="43"/>
  <c r="F26" i="43"/>
  <c r="E26" i="43"/>
  <c r="D26" i="43"/>
  <c r="M25" i="43"/>
  <c r="L25" i="43"/>
  <c r="K25" i="43"/>
  <c r="J25" i="43"/>
  <c r="I25" i="43"/>
  <c r="H25" i="43"/>
  <c r="G25" i="43"/>
  <c r="F25" i="43"/>
  <c r="E25" i="43"/>
  <c r="D25" i="43"/>
  <c r="M24" i="43"/>
  <c r="L24" i="43"/>
  <c r="K24" i="43"/>
  <c r="J24" i="43"/>
  <c r="I24" i="43"/>
  <c r="H24" i="43"/>
  <c r="G24" i="43"/>
  <c r="F24" i="43"/>
  <c r="E24" i="43"/>
  <c r="D24" i="43"/>
  <c r="M23" i="43"/>
  <c r="L23" i="43"/>
  <c r="K23" i="43"/>
  <c r="J23" i="43"/>
  <c r="I23" i="43"/>
  <c r="H23" i="43"/>
  <c r="G23" i="43"/>
  <c r="F23" i="43"/>
  <c r="E23" i="43"/>
  <c r="D23" i="43"/>
  <c r="M22" i="43"/>
  <c r="L22" i="43"/>
  <c r="K22" i="43"/>
  <c r="J22" i="43"/>
  <c r="I22" i="43"/>
  <c r="H22" i="43"/>
  <c r="G22" i="43"/>
  <c r="F22" i="43"/>
  <c r="E22" i="43"/>
  <c r="D22" i="43"/>
  <c r="M21" i="43"/>
  <c r="L21" i="43"/>
  <c r="K21" i="43"/>
  <c r="J21" i="43"/>
  <c r="I21" i="43"/>
  <c r="H21" i="43"/>
  <c r="G21" i="43"/>
  <c r="F21" i="43"/>
  <c r="E21" i="43"/>
  <c r="D21" i="43"/>
  <c r="M20" i="43"/>
  <c r="L20" i="43"/>
  <c r="K20" i="43"/>
  <c r="J20" i="43"/>
  <c r="I20" i="43"/>
  <c r="H20" i="43"/>
  <c r="G20" i="43"/>
  <c r="F20" i="43"/>
  <c r="E20" i="43"/>
  <c r="D20" i="43"/>
  <c r="M19" i="43"/>
  <c r="L19" i="43"/>
  <c r="K19" i="43"/>
  <c r="J19" i="43"/>
  <c r="I19" i="43"/>
  <c r="H19" i="43"/>
  <c r="G19" i="43"/>
  <c r="F19" i="43"/>
  <c r="E19" i="43"/>
  <c r="D19" i="43"/>
  <c r="M18" i="43"/>
  <c r="L18" i="43"/>
  <c r="K18" i="43"/>
  <c r="J18" i="43"/>
  <c r="I18" i="43"/>
  <c r="H18" i="43"/>
  <c r="G18" i="43"/>
  <c r="F18" i="43"/>
  <c r="E18" i="43"/>
  <c r="D18" i="43"/>
  <c r="M17" i="43"/>
  <c r="L17" i="43"/>
  <c r="K17" i="43"/>
  <c r="J17" i="43"/>
  <c r="I17" i="43"/>
  <c r="H17" i="43"/>
  <c r="G17" i="43"/>
  <c r="F17" i="43"/>
  <c r="E17" i="43"/>
  <c r="D17" i="43"/>
  <c r="M16" i="43"/>
  <c r="L16" i="43"/>
  <c r="K16" i="43"/>
  <c r="J16" i="43"/>
  <c r="I16" i="43"/>
  <c r="H16" i="43"/>
  <c r="G16" i="43"/>
  <c r="F16" i="43"/>
  <c r="E16" i="43"/>
  <c r="D16" i="43"/>
  <c r="M15" i="43"/>
  <c r="L15" i="43"/>
  <c r="K15" i="43"/>
  <c r="J15" i="43"/>
  <c r="I15" i="43"/>
  <c r="H15" i="43"/>
  <c r="G15" i="43"/>
  <c r="F15" i="43"/>
  <c r="E15" i="43"/>
  <c r="D15" i="43"/>
  <c r="M14" i="43"/>
  <c r="L14" i="43"/>
  <c r="K14" i="43"/>
  <c r="J14" i="43"/>
  <c r="I14" i="43"/>
  <c r="H14" i="43"/>
  <c r="G14" i="43"/>
  <c r="F14" i="43"/>
  <c r="E14" i="43"/>
  <c r="D14" i="43"/>
  <c r="M13" i="43"/>
  <c r="L13" i="43"/>
  <c r="K13" i="43"/>
  <c r="J13" i="43"/>
  <c r="I13" i="43"/>
  <c r="H13" i="43"/>
  <c r="G13" i="43"/>
  <c r="F13" i="43"/>
  <c r="E13" i="43"/>
  <c r="D13" i="43"/>
  <c r="M12" i="43"/>
  <c r="L12" i="43"/>
  <c r="K12" i="43"/>
  <c r="J12" i="43"/>
  <c r="I12" i="43"/>
  <c r="H12" i="43"/>
  <c r="G12" i="43"/>
  <c r="F12" i="43"/>
  <c r="E12" i="43"/>
  <c r="D12" i="43"/>
  <c r="M11" i="43"/>
  <c r="L11" i="43"/>
  <c r="K11" i="43"/>
  <c r="J11" i="43"/>
  <c r="I11" i="43"/>
  <c r="H11" i="43"/>
  <c r="G11" i="43"/>
  <c r="F11" i="43"/>
  <c r="E11" i="43"/>
  <c r="D11" i="43"/>
  <c r="M10" i="43"/>
  <c r="L10" i="43"/>
  <c r="K10" i="43"/>
  <c r="J10" i="43"/>
  <c r="I10" i="43"/>
  <c r="H10" i="43"/>
  <c r="G10" i="43"/>
  <c r="F10" i="43"/>
  <c r="E10" i="43"/>
  <c r="D10" i="43"/>
  <c r="M9" i="43"/>
  <c r="L9" i="43"/>
  <c r="K9" i="43"/>
  <c r="J9" i="43"/>
  <c r="I9" i="43"/>
  <c r="H9" i="43"/>
  <c r="G9" i="43"/>
  <c r="F9" i="43"/>
  <c r="E9" i="43"/>
  <c r="D9" i="43"/>
  <c r="M8" i="43"/>
  <c r="L8" i="43"/>
  <c r="K8" i="43"/>
  <c r="J8" i="43"/>
  <c r="I8" i="43"/>
  <c r="H8" i="43"/>
  <c r="G8" i="43"/>
  <c r="F8" i="43"/>
  <c r="E8" i="43"/>
  <c r="D8" i="43"/>
  <c r="M7" i="43"/>
  <c r="L7" i="43"/>
  <c r="K7" i="43"/>
  <c r="J7" i="43"/>
  <c r="I7" i="43"/>
  <c r="H7" i="43"/>
  <c r="G7" i="43"/>
  <c r="F7" i="43"/>
  <c r="E7" i="43"/>
  <c r="D7" i="43"/>
  <c r="M6" i="43"/>
  <c r="L6" i="43"/>
  <c r="K6" i="43"/>
  <c r="J6" i="43"/>
  <c r="I6" i="43"/>
  <c r="H6" i="43"/>
  <c r="G6" i="43"/>
  <c r="F6" i="43"/>
  <c r="E6" i="43"/>
  <c r="D6" i="43"/>
  <c r="M5" i="43"/>
  <c r="L5" i="43"/>
  <c r="K5" i="43"/>
  <c r="J5" i="43"/>
  <c r="I5" i="43"/>
  <c r="H5" i="43"/>
  <c r="G5" i="43"/>
  <c r="F5" i="43"/>
  <c r="E5" i="43"/>
  <c r="D5" i="43"/>
  <c r="M4" i="43"/>
  <c r="L4" i="43"/>
  <c r="K4" i="43"/>
  <c r="J4" i="43"/>
  <c r="I4" i="43"/>
  <c r="H4" i="43"/>
  <c r="G4" i="43"/>
  <c r="F4" i="43"/>
  <c r="E4" i="43"/>
  <c r="D4" i="43"/>
  <c r="M3" i="43"/>
  <c r="L3" i="43"/>
  <c r="K3" i="43"/>
  <c r="J3" i="43"/>
  <c r="I3" i="43"/>
  <c r="H3" i="43"/>
  <c r="G3" i="43"/>
  <c r="F3" i="43"/>
  <c r="E3" i="43"/>
  <c r="D3" i="43"/>
  <c r="M2" i="43"/>
  <c r="L2" i="43"/>
  <c r="K2" i="43"/>
  <c r="J2" i="43"/>
  <c r="I2" i="43"/>
  <c r="H2" i="43"/>
  <c r="G2" i="43"/>
  <c r="F2" i="43"/>
  <c r="E2" i="43"/>
  <c r="D2" i="43"/>
  <c r="B84" i="28"/>
  <c r="C84" i="28" s="1"/>
  <c r="D84" i="28" s="1"/>
  <c r="E84" i="28" s="1"/>
  <c r="F84" i="28" s="1"/>
  <c r="G84" i="28" s="1"/>
  <c r="H84" i="28" s="1"/>
  <c r="I84" i="28" s="1"/>
  <c r="J84" i="28" s="1"/>
  <c r="K84" i="28" s="1"/>
  <c r="L84" i="28" s="1"/>
  <c r="M84" i="28" s="1"/>
  <c r="N84" i="28" s="1"/>
  <c r="O84" i="28" s="1"/>
  <c r="P84" i="28" s="1"/>
  <c r="Q84" i="28" s="1"/>
  <c r="R84" i="28" s="1"/>
  <c r="S84" i="28" s="1"/>
  <c r="T84" i="28" s="1"/>
  <c r="U84" i="28" s="1"/>
  <c r="V84" i="28" s="1"/>
  <c r="W84" i="28" s="1"/>
  <c r="X84" i="28" s="1"/>
  <c r="Y84" i="28" s="1"/>
  <c r="Z84" i="28" s="1"/>
  <c r="AA84" i="28" s="1"/>
  <c r="AB84" i="28" s="1"/>
  <c r="AC84" i="28" s="1"/>
  <c r="AD84" i="28" s="1"/>
  <c r="AE84" i="28" s="1"/>
  <c r="AF84" i="28" s="1"/>
  <c r="AG84" i="28" s="1"/>
  <c r="AH84" i="28" s="1"/>
  <c r="AI84" i="28" s="1"/>
  <c r="AJ84" i="28" s="1"/>
  <c r="B71" i="28"/>
  <c r="C71" i="28" s="1"/>
  <c r="D71" i="28" s="1"/>
  <c r="E71" i="28" s="1"/>
  <c r="F71" i="28" s="1"/>
  <c r="G71" i="28" s="1"/>
  <c r="H71" i="28" s="1"/>
  <c r="I71" i="28" s="1"/>
  <c r="J71" i="28" s="1"/>
  <c r="K71" i="28" s="1"/>
  <c r="L71" i="28" s="1"/>
  <c r="M71" i="28" s="1"/>
  <c r="N71" i="28" s="1"/>
  <c r="O71" i="28" s="1"/>
  <c r="P71" i="28" s="1"/>
  <c r="Q71" i="28" s="1"/>
  <c r="R71" i="28" s="1"/>
  <c r="S71" i="28" s="1"/>
  <c r="T71" i="28" s="1"/>
  <c r="U71" i="28" s="1"/>
  <c r="V71" i="28" s="1"/>
  <c r="W71" i="28" s="1"/>
  <c r="X71" i="28" s="1"/>
  <c r="Y71" i="28" s="1"/>
  <c r="Z71" i="28" s="1"/>
  <c r="AA71" i="28" s="1"/>
  <c r="AB71" i="28" s="1"/>
  <c r="AC71" i="28" s="1"/>
  <c r="AD71" i="28" s="1"/>
  <c r="AE71" i="28" s="1"/>
  <c r="AF71" i="28" s="1"/>
  <c r="AG71" i="28" s="1"/>
  <c r="AH71" i="28" s="1"/>
  <c r="AI71" i="28" s="1"/>
  <c r="AJ71" i="28" s="1"/>
  <c r="B70" i="28"/>
  <c r="C70" i="28" s="1"/>
  <c r="D70" i="28" s="1"/>
  <c r="E70" i="28" s="1"/>
  <c r="F70" i="28" s="1"/>
  <c r="G70" i="28" s="1"/>
  <c r="H70" i="28" s="1"/>
  <c r="I70" i="28" s="1"/>
  <c r="J70" i="28" s="1"/>
  <c r="K70" i="28" s="1"/>
  <c r="L70" i="28" s="1"/>
  <c r="M70" i="28" s="1"/>
  <c r="N70" i="28" s="1"/>
  <c r="O70" i="28" s="1"/>
  <c r="P70" i="28" s="1"/>
  <c r="Q70" i="28" s="1"/>
  <c r="R70" i="28" s="1"/>
  <c r="S70" i="28" s="1"/>
  <c r="T70" i="28" s="1"/>
  <c r="U70" i="28" s="1"/>
  <c r="V70" i="28" s="1"/>
  <c r="W70" i="28" s="1"/>
  <c r="X70" i="28" s="1"/>
  <c r="Y70" i="28" s="1"/>
  <c r="Z70" i="28" s="1"/>
  <c r="AA70" i="28" s="1"/>
  <c r="AB70" i="28" s="1"/>
  <c r="AC70" i="28" s="1"/>
  <c r="AD70" i="28" s="1"/>
  <c r="AE70" i="28" s="1"/>
  <c r="AF70" i="28" s="1"/>
  <c r="AG70" i="28" s="1"/>
  <c r="AH70" i="28" s="1"/>
  <c r="AI70" i="28" s="1"/>
  <c r="AJ70" i="28" s="1"/>
  <c r="B69" i="28"/>
  <c r="D46" i="28"/>
  <c r="E46" i="28"/>
  <c r="F46" i="28"/>
  <c r="G46" i="28"/>
  <c r="H46" i="28"/>
  <c r="I46" i="28"/>
  <c r="J46" i="28"/>
  <c r="K46" i="28"/>
  <c r="L46" i="28"/>
  <c r="M46" i="28"/>
  <c r="N46" i="28"/>
  <c r="O46" i="28"/>
  <c r="P46" i="28"/>
  <c r="Q46" i="28"/>
  <c r="R46" i="28"/>
  <c r="S46" i="28"/>
  <c r="T46" i="28"/>
  <c r="U46" i="28"/>
  <c r="V46" i="28"/>
  <c r="W46" i="28"/>
  <c r="X46" i="28"/>
  <c r="Y46" i="28"/>
  <c r="Z46" i="28"/>
  <c r="AA46" i="28"/>
  <c r="AB46" i="28"/>
  <c r="AC46" i="28"/>
  <c r="AD46" i="28"/>
  <c r="AE46" i="28"/>
  <c r="AF46" i="28"/>
  <c r="AG46" i="28"/>
  <c r="AH46" i="28"/>
  <c r="AI46" i="28"/>
  <c r="AJ46" i="28"/>
  <c r="C46" i="28"/>
  <c r="B45" i="28"/>
  <c r="C45" i="28" s="1"/>
  <c r="D45" i="28" s="1"/>
  <c r="E45" i="28" s="1"/>
  <c r="F45" i="28" s="1"/>
  <c r="G45" i="28" s="1"/>
  <c r="H45" i="28" s="1"/>
  <c r="I45" i="28" s="1"/>
  <c r="J45" i="28" s="1"/>
  <c r="K45" i="28" s="1"/>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AF45" i="28" s="1"/>
  <c r="AG45" i="28" s="1"/>
  <c r="AH45" i="28" s="1"/>
  <c r="AI45" i="28" s="1"/>
  <c r="AJ45" i="28" s="1"/>
  <c r="B46" i="28"/>
  <c r="B47" i="28"/>
  <c r="B44" i="28"/>
  <c r="C44" i="28" s="1"/>
  <c r="D44" i="28" s="1"/>
  <c r="E44" i="28" s="1"/>
  <c r="F44" i="28" s="1"/>
  <c r="G44" i="28" s="1"/>
  <c r="H44" i="28" s="1"/>
  <c r="I44" i="28" s="1"/>
  <c r="J44" i="28" s="1"/>
  <c r="K44" i="28" s="1"/>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AF44" i="28" s="1"/>
  <c r="AG44" i="28" s="1"/>
  <c r="AH44" i="28" s="1"/>
  <c r="AI44" i="28" s="1"/>
  <c r="AJ44" i="28" s="1"/>
  <c r="B43" i="28"/>
  <c r="B22" i="28"/>
  <c r="B17" i="28"/>
  <c r="C3" i="28"/>
  <c r="C69" i="28" s="1"/>
  <c r="D3" i="28"/>
  <c r="D43" i="28" s="1"/>
  <c r="E3" i="28"/>
  <c r="E43" i="28" s="1"/>
  <c r="F3" i="28"/>
  <c r="F43" i="28" s="1"/>
  <c r="G3" i="28"/>
  <c r="G43" i="28" s="1"/>
  <c r="H3" i="28"/>
  <c r="H43" i="28" s="1"/>
  <c r="I3" i="28"/>
  <c r="I43" i="28" s="1"/>
  <c r="J3" i="28"/>
  <c r="J43" i="28" s="1"/>
  <c r="K3" i="28"/>
  <c r="K43" i="28" s="1"/>
  <c r="L3" i="28"/>
  <c r="L43" i="28" s="1"/>
  <c r="M3" i="28"/>
  <c r="M43" i="28" s="1"/>
  <c r="N3" i="28"/>
  <c r="N43" i="28" s="1"/>
  <c r="O3" i="28"/>
  <c r="O43" i="28" s="1"/>
  <c r="P3" i="28"/>
  <c r="P43" i="28" s="1"/>
  <c r="Q3" i="28"/>
  <c r="Q43" i="28" s="1"/>
  <c r="R3" i="28"/>
  <c r="R43" i="28" s="1"/>
  <c r="S3" i="28"/>
  <c r="S43" i="28" s="1"/>
  <c r="T3" i="28"/>
  <c r="T43" i="28" s="1"/>
  <c r="U3" i="28"/>
  <c r="U43" i="28" s="1"/>
  <c r="V3" i="28"/>
  <c r="V43" i="28" s="1"/>
  <c r="W3" i="28"/>
  <c r="W43" i="28" s="1"/>
  <c r="X3" i="28"/>
  <c r="X43" i="28" s="1"/>
  <c r="Y3" i="28"/>
  <c r="Y43" i="28" s="1"/>
  <c r="Z3" i="28"/>
  <c r="Z43" i="28" s="1"/>
  <c r="AA3" i="28"/>
  <c r="AA43" i="28" s="1"/>
  <c r="AB3" i="28"/>
  <c r="AB43" i="28" s="1"/>
  <c r="AC3" i="28"/>
  <c r="AC43" i="28" s="1"/>
  <c r="AD3" i="28"/>
  <c r="AD43" i="28" s="1"/>
  <c r="AE3" i="28"/>
  <c r="AE43" i="28" s="1"/>
  <c r="AF3" i="28"/>
  <c r="AF43" i="28" s="1"/>
  <c r="AG3" i="28"/>
  <c r="AG43" i="28" s="1"/>
  <c r="AH3" i="28"/>
  <c r="AH43" i="28" s="1"/>
  <c r="AI3" i="28"/>
  <c r="AI43" i="28" s="1"/>
  <c r="AJ3" i="28"/>
  <c r="AJ43" i="28" s="1"/>
  <c r="B3" i="28"/>
  <c r="K10" i="27"/>
  <c r="B11" i="27"/>
  <c r="B10" i="27"/>
  <c r="D10" i="27" s="1"/>
  <c r="B9" i="27"/>
  <c r="D157" i="20"/>
  <c r="E157" i="20"/>
  <c r="F157" i="20"/>
  <c r="G157" i="20"/>
  <c r="H157" i="20"/>
  <c r="I157" i="20"/>
  <c r="J157" i="20"/>
  <c r="K157" i="20"/>
  <c r="L157" i="20"/>
  <c r="M157" i="20"/>
  <c r="N157" i="20"/>
  <c r="O157" i="20"/>
  <c r="P157" i="20"/>
  <c r="Q157" i="20"/>
  <c r="R157" i="20"/>
  <c r="S157" i="20"/>
  <c r="T157" i="20"/>
  <c r="U157" i="20"/>
  <c r="V157" i="20"/>
  <c r="W157" i="20"/>
  <c r="X157" i="20"/>
  <c r="Y157" i="20"/>
  <c r="Z157" i="20"/>
  <c r="AA157" i="20"/>
  <c r="AB157" i="20"/>
  <c r="AC157" i="20"/>
  <c r="AD157" i="20"/>
  <c r="AE157" i="20"/>
  <c r="AF157" i="20"/>
  <c r="AG157" i="20"/>
  <c r="AH157" i="20"/>
  <c r="AI157" i="20"/>
  <c r="AJ157" i="20"/>
  <c r="C157" i="20"/>
  <c r="B157" i="20"/>
  <c r="B156" i="20"/>
  <c r="B148" i="20"/>
  <c r="B123" i="20"/>
  <c r="B110" i="20"/>
  <c r="B111" i="20"/>
  <c r="B112" i="20"/>
  <c r="B113" i="20"/>
  <c r="B114" i="20"/>
  <c r="B115" i="20"/>
  <c r="B116" i="20"/>
  <c r="B117" i="20"/>
  <c r="B118" i="20"/>
  <c r="B119" i="20"/>
  <c r="N58" i="20"/>
  <c r="M58" i="20"/>
  <c r="L58" i="20"/>
  <c r="K58" i="20"/>
  <c r="J58" i="20"/>
  <c r="I58" i="20"/>
  <c r="H58" i="20"/>
  <c r="G58" i="20"/>
  <c r="F58" i="20"/>
  <c r="E58" i="20"/>
  <c r="D58" i="20"/>
  <c r="C58" i="20"/>
  <c r="O50" i="20"/>
  <c r="O51" i="20"/>
  <c r="O52" i="20"/>
  <c r="O53" i="20"/>
  <c r="O54" i="20"/>
  <c r="O55" i="20"/>
  <c r="O56" i="20"/>
  <c r="O57" i="20"/>
  <c r="O49" i="20"/>
  <c r="B16" i="19"/>
  <c r="C103" i="18"/>
  <c r="D103" i="18"/>
  <c r="E103" i="18"/>
  <c r="F103" i="18"/>
  <c r="G103" i="18"/>
  <c r="H103" i="18"/>
  <c r="I103" i="18"/>
  <c r="J103" i="18"/>
  <c r="K103" i="18"/>
  <c r="L103" i="18"/>
  <c r="M103" i="18"/>
  <c r="N103" i="18"/>
  <c r="O103" i="18"/>
  <c r="P103" i="18"/>
  <c r="Q103" i="18"/>
  <c r="R103" i="18"/>
  <c r="S103" i="18"/>
  <c r="T103" i="18"/>
  <c r="U103" i="18"/>
  <c r="V103" i="18"/>
  <c r="W103" i="18"/>
  <c r="X103" i="18"/>
  <c r="Y103" i="18"/>
  <c r="Z103" i="18"/>
  <c r="AA103" i="18"/>
  <c r="AB103" i="18"/>
  <c r="AC103" i="18"/>
  <c r="AD103" i="18"/>
  <c r="AE103" i="18"/>
  <c r="AF103" i="18"/>
  <c r="AG103" i="18"/>
  <c r="AH103" i="18"/>
  <c r="AI103" i="18"/>
  <c r="AJ103" i="18"/>
  <c r="B103" i="18"/>
  <c r="F93" i="18"/>
  <c r="J93" i="18"/>
  <c r="B86" i="18"/>
  <c r="C86" i="18" s="1"/>
  <c r="D86" i="18" s="1"/>
  <c r="E86" i="18" s="1"/>
  <c r="F86" i="18" s="1"/>
  <c r="G86" i="18" s="1"/>
  <c r="H86" i="18" s="1"/>
  <c r="I86" i="18" s="1"/>
  <c r="J86" i="18" s="1"/>
  <c r="K86" i="18" s="1"/>
  <c r="L86" i="18" s="1"/>
  <c r="M86" i="18" s="1"/>
  <c r="N86" i="18" s="1"/>
  <c r="O86" i="18" s="1"/>
  <c r="P86" i="18" s="1"/>
  <c r="Q86" i="18" s="1"/>
  <c r="R86" i="18" s="1"/>
  <c r="S86" i="18" s="1"/>
  <c r="T86" i="18" s="1"/>
  <c r="U86" i="18" s="1"/>
  <c r="V86" i="18" s="1"/>
  <c r="W86" i="18" s="1"/>
  <c r="X86" i="18" s="1"/>
  <c r="Y86" i="18" s="1"/>
  <c r="Z86" i="18" s="1"/>
  <c r="AA86" i="18" s="1"/>
  <c r="AB86" i="18" s="1"/>
  <c r="AC86" i="18" s="1"/>
  <c r="AD86" i="18" s="1"/>
  <c r="AE86" i="18" s="1"/>
  <c r="AF86" i="18" s="1"/>
  <c r="AG86" i="18" s="1"/>
  <c r="AH86" i="18" s="1"/>
  <c r="AI86" i="18" s="1"/>
  <c r="AJ86" i="18" s="1"/>
  <c r="B87" i="18"/>
  <c r="C87" i="18" s="1"/>
  <c r="D87" i="18" s="1"/>
  <c r="E87" i="18" s="1"/>
  <c r="F87" i="18" s="1"/>
  <c r="G87" i="18" s="1"/>
  <c r="H87" i="18" s="1"/>
  <c r="I87" i="18" s="1"/>
  <c r="J87" i="18" s="1"/>
  <c r="K87" i="18" s="1"/>
  <c r="L87" i="18" s="1"/>
  <c r="M87" i="18" s="1"/>
  <c r="N87" i="18" s="1"/>
  <c r="O87" i="18" s="1"/>
  <c r="P87" i="18" s="1"/>
  <c r="Q87" i="18" s="1"/>
  <c r="R87" i="18" s="1"/>
  <c r="S87" i="18" s="1"/>
  <c r="T87" i="18" s="1"/>
  <c r="U87" i="18" s="1"/>
  <c r="V87" i="18" s="1"/>
  <c r="W87" i="18" s="1"/>
  <c r="X87" i="18" s="1"/>
  <c r="Y87" i="18" s="1"/>
  <c r="Z87" i="18" s="1"/>
  <c r="AA87" i="18" s="1"/>
  <c r="AB87" i="18" s="1"/>
  <c r="AC87" i="18" s="1"/>
  <c r="AD87" i="18" s="1"/>
  <c r="AE87" i="18" s="1"/>
  <c r="AF87" i="18" s="1"/>
  <c r="AG87" i="18" s="1"/>
  <c r="AH87" i="18" s="1"/>
  <c r="AI87" i="18" s="1"/>
  <c r="AJ87" i="18" s="1"/>
  <c r="B82" i="18"/>
  <c r="C82" i="18" s="1"/>
  <c r="D82" i="18" s="1"/>
  <c r="E82" i="18" s="1"/>
  <c r="F82" i="18" s="1"/>
  <c r="G82" i="18" s="1"/>
  <c r="H82" i="18" s="1"/>
  <c r="I82" i="18" s="1"/>
  <c r="J82" i="18" s="1"/>
  <c r="K82" i="18" s="1"/>
  <c r="L82" i="18" s="1"/>
  <c r="M82" i="18" s="1"/>
  <c r="N82" i="18" s="1"/>
  <c r="O82" i="18" s="1"/>
  <c r="P82" i="18" s="1"/>
  <c r="Q82" i="18" s="1"/>
  <c r="R82" i="18" s="1"/>
  <c r="S82" i="18" s="1"/>
  <c r="T82" i="18" s="1"/>
  <c r="U82" i="18" s="1"/>
  <c r="V82" i="18" s="1"/>
  <c r="W82" i="18" s="1"/>
  <c r="X82" i="18" s="1"/>
  <c r="Y82" i="18" s="1"/>
  <c r="Z82" i="18" s="1"/>
  <c r="AA82" i="18" s="1"/>
  <c r="AB82" i="18" s="1"/>
  <c r="AC82" i="18" s="1"/>
  <c r="AD82" i="18" s="1"/>
  <c r="AE82" i="18" s="1"/>
  <c r="AF82" i="18" s="1"/>
  <c r="AG82" i="18" s="1"/>
  <c r="AH82" i="18" s="1"/>
  <c r="AI82" i="18" s="1"/>
  <c r="AJ82" i="18" s="1"/>
  <c r="AJ93" i="18" s="1"/>
  <c r="B81" i="18"/>
  <c r="C81" i="18" s="1"/>
  <c r="D81" i="18" s="1"/>
  <c r="E81" i="18" s="1"/>
  <c r="F81" i="18" s="1"/>
  <c r="G81" i="18" s="1"/>
  <c r="H81" i="18" s="1"/>
  <c r="I81" i="18" s="1"/>
  <c r="J81" i="18" s="1"/>
  <c r="K81" i="18" s="1"/>
  <c r="L81" i="18" s="1"/>
  <c r="M81" i="18" s="1"/>
  <c r="N81" i="18" s="1"/>
  <c r="O81" i="18" s="1"/>
  <c r="P81" i="18" s="1"/>
  <c r="Q81" i="18" s="1"/>
  <c r="R81" i="18" s="1"/>
  <c r="S81" i="18" s="1"/>
  <c r="T81" i="18" s="1"/>
  <c r="U81" i="18" s="1"/>
  <c r="V81" i="18" s="1"/>
  <c r="W81" i="18" s="1"/>
  <c r="X81" i="18" s="1"/>
  <c r="Y81" i="18" s="1"/>
  <c r="Z81" i="18" s="1"/>
  <c r="AA81" i="18" s="1"/>
  <c r="AB81" i="18" s="1"/>
  <c r="AC81" i="18" s="1"/>
  <c r="AD81" i="18" s="1"/>
  <c r="AE81" i="18" s="1"/>
  <c r="AF81" i="18" s="1"/>
  <c r="AG81" i="18" s="1"/>
  <c r="AH81" i="18" s="1"/>
  <c r="AI81" i="18" s="1"/>
  <c r="AJ81" i="18" s="1"/>
  <c r="C71" i="18"/>
  <c r="D71" i="18"/>
  <c r="E71" i="18"/>
  <c r="F71" i="18"/>
  <c r="C72" i="18"/>
  <c r="D72" i="18"/>
  <c r="E72" i="18"/>
  <c r="F72" i="18"/>
  <c r="C73" i="18"/>
  <c r="D73" i="18"/>
  <c r="E73" i="18"/>
  <c r="F73" i="18"/>
  <c r="C74" i="18"/>
  <c r="D74" i="18"/>
  <c r="E74" i="18"/>
  <c r="F74" i="18"/>
  <c r="C75" i="18"/>
  <c r="D75" i="18"/>
  <c r="E75" i="18"/>
  <c r="F75" i="18"/>
  <c r="C76" i="18"/>
  <c r="D76" i="18"/>
  <c r="E76" i="18"/>
  <c r="F76" i="18"/>
  <c r="B76" i="18"/>
  <c r="B75" i="18"/>
  <c r="B74" i="18"/>
  <c r="B73" i="18"/>
  <c r="B72" i="18"/>
  <c r="B71" i="18"/>
  <c r="C61" i="18"/>
  <c r="D61" i="18"/>
  <c r="E61" i="18"/>
  <c r="F61" i="18"/>
  <c r="C62" i="18"/>
  <c r="D62" i="18"/>
  <c r="E62" i="18"/>
  <c r="F62" i="18"/>
  <c r="C63" i="18"/>
  <c r="D63" i="18"/>
  <c r="E63" i="18"/>
  <c r="F63" i="18"/>
  <c r="C64" i="18"/>
  <c r="D64" i="18"/>
  <c r="E64" i="18"/>
  <c r="F64" i="18"/>
  <c r="C65" i="18"/>
  <c r="D65" i="18"/>
  <c r="E65" i="18"/>
  <c r="F65" i="18"/>
  <c r="C66" i="18"/>
  <c r="D66" i="18"/>
  <c r="E66" i="18"/>
  <c r="F66" i="18"/>
  <c r="B66" i="18"/>
  <c r="B65" i="18"/>
  <c r="B64" i="18"/>
  <c r="B63" i="18"/>
  <c r="B62" i="18"/>
  <c r="B61" i="18"/>
  <c r="C19" i="18"/>
  <c r="D19" i="18"/>
  <c r="E19" i="18"/>
  <c r="F19" i="18"/>
  <c r="C20" i="18"/>
  <c r="D20" i="18"/>
  <c r="E20" i="18"/>
  <c r="F20" i="18"/>
  <c r="B20" i="18"/>
  <c r="B19" i="18"/>
  <c r="X5" i="18"/>
  <c r="Y5" i="18" s="1"/>
  <c r="Z5" i="18" s="1"/>
  <c r="AA5" i="18" s="1"/>
  <c r="AB5" i="18" s="1"/>
  <c r="AC5" i="18" s="1"/>
  <c r="AD5" i="18" s="1"/>
  <c r="AE5" i="18" s="1"/>
  <c r="AF5" i="18" s="1"/>
  <c r="AG5" i="18" s="1"/>
  <c r="AH5" i="18" s="1"/>
  <c r="AI5" i="18" s="1"/>
  <c r="AJ5" i="18" s="1"/>
  <c r="AK5" i="18" s="1"/>
  <c r="AL5" i="18" s="1"/>
  <c r="AM5" i="18" s="1"/>
  <c r="AN5" i="18" s="1"/>
  <c r="AO5" i="18" s="1"/>
  <c r="AP5" i="18" s="1"/>
  <c r="AQ5" i="18" s="1"/>
  <c r="AR5" i="18" s="1"/>
  <c r="AS5" i="18" s="1"/>
  <c r="AT5" i="18" s="1"/>
  <c r="X6" i="18"/>
  <c r="Y6" i="18" s="1"/>
  <c r="Z6" i="18" s="1"/>
  <c r="AA6" i="18" s="1"/>
  <c r="AB6" i="18" s="1"/>
  <c r="AC6" i="18" s="1"/>
  <c r="AD6" i="18" s="1"/>
  <c r="AE6" i="18" s="1"/>
  <c r="AF6" i="18" s="1"/>
  <c r="AG6" i="18" s="1"/>
  <c r="AH6" i="18" s="1"/>
  <c r="AI6" i="18" s="1"/>
  <c r="AJ6" i="18" s="1"/>
  <c r="AK6" i="18" s="1"/>
  <c r="AL6" i="18" s="1"/>
  <c r="AM6" i="18" s="1"/>
  <c r="AN6" i="18" s="1"/>
  <c r="AO6" i="18" s="1"/>
  <c r="AP6" i="18" s="1"/>
  <c r="AQ6" i="18" s="1"/>
  <c r="AR6" i="18" s="1"/>
  <c r="AS6" i="18" s="1"/>
  <c r="AT6" i="18" s="1"/>
  <c r="X9" i="18"/>
  <c r="Y9" i="18" s="1"/>
  <c r="Z9" i="18" s="1"/>
  <c r="AA9" i="18" s="1"/>
  <c r="AB9" i="18" s="1"/>
  <c r="AC9" i="18" s="1"/>
  <c r="AD9" i="18" s="1"/>
  <c r="AE9" i="18" s="1"/>
  <c r="AF9" i="18" s="1"/>
  <c r="AG9" i="18" s="1"/>
  <c r="AH9" i="18" s="1"/>
  <c r="AI9" i="18" s="1"/>
  <c r="AJ9" i="18" s="1"/>
  <c r="AK9" i="18" s="1"/>
  <c r="AL9" i="18" s="1"/>
  <c r="AM9" i="18" s="1"/>
  <c r="AN9" i="18" s="1"/>
  <c r="AO9" i="18" s="1"/>
  <c r="AP9" i="18" s="1"/>
  <c r="AQ9" i="18" s="1"/>
  <c r="AR9" i="18" s="1"/>
  <c r="AS9" i="18" s="1"/>
  <c r="AT9" i="18" s="1"/>
  <c r="X4" i="18"/>
  <c r="Y4" i="18" s="1"/>
  <c r="Z4" i="18" s="1"/>
  <c r="AA4" i="18" s="1"/>
  <c r="AB4" i="18" s="1"/>
  <c r="AC4" i="18" s="1"/>
  <c r="AD4" i="18" s="1"/>
  <c r="AE4" i="18" s="1"/>
  <c r="AF4" i="18" s="1"/>
  <c r="AG4" i="18" s="1"/>
  <c r="AH4" i="18" s="1"/>
  <c r="AI4" i="18" s="1"/>
  <c r="AJ4" i="18" s="1"/>
  <c r="AK4" i="18" s="1"/>
  <c r="AL4" i="18" s="1"/>
  <c r="AM4" i="18" s="1"/>
  <c r="AN4" i="18" s="1"/>
  <c r="AO4" i="18" s="1"/>
  <c r="AP4" i="18" s="1"/>
  <c r="AQ4" i="18" s="1"/>
  <c r="AR4" i="18" s="1"/>
  <c r="AS4" i="18" s="1"/>
  <c r="AT4" i="18" s="1"/>
  <c r="B15" i="25"/>
  <c r="B14" i="25"/>
  <c r="C14" i="35"/>
  <c r="B4" i="24"/>
  <c r="B3" i="24"/>
  <c r="B19" i="23"/>
  <c r="B18" i="23"/>
  <c r="E13" i="23"/>
  <c r="F13" i="23"/>
  <c r="E12" i="23"/>
  <c r="C11" i="23"/>
  <c r="D11" i="23"/>
  <c r="E11" i="23"/>
  <c r="F11" i="23"/>
  <c r="G11" i="23"/>
  <c r="B11" i="23"/>
  <c r="D8" i="23"/>
  <c r="D13" i="23" s="1"/>
  <c r="E8" i="23"/>
  <c r="F8" i="23"/>
  <c r="G8" i="23"/>
  <c r="G13" i="23" s="1"/>
  <c r="C8" i="23"/>
  <c r="C13" i="23" s="1"/>
  <c r="B8" i="23"/>
  <c r="D7" i="23"/>
  <c r="D12" i="23" s="1"/>
  <c r="E7" i="23"/>
  <c r="F7" i="23"/>
  <c r="F12" i="23" s="1"/>
  <c r="G7" i="23"/>
  <c r="G12" i="23" s="1"/>
  <c r="C7" i="23"/>
  <c r="C12" i="23" s="1"/>
  <c r="B7" i="23"/>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AI11" i="17"/>
  <c r="AJ11" i="17"/>
  <c r="AK11" i="17"/>
  <c r="B11" i="17"/>
  <c r="F67" i="11"/>
  <c r="G67" i="11"/>
  <c r="J67" i="11"/>
  <c r="K67" i="11"/>
  <c r="N67" i="11"/>
  <c r="O67" i="11"/>
  <c r="R67" i="11"/>
  <c r="S67" i="11"/>
  <c r="V67" i="11"/>
  <c r="W67" i="11"/>
  <c r="Z67" i="11"/>
  <c r="AA67" i="11"/>
  <c r="AD67" i="11"/>
  <c r="AE67" i="11"/>
  <c r="AH67" i="11"/>
  <c r="AI67" i="11"/>
  <c r="J68" i="11"/>
  <c r="J73" i="11" s="1"/>
  <c r="Z68" i="11"/>
  <c r="Z73" i="11" s="1"/>
  <c r="I69" i="11"/>
  <c r="Y69" i="11"/>
  <c r="C69" i="11"/>
  <c r="K66" i="11"/>
  <c r="L66" i="11"/>
  <c r="M66" i="11"/>
  <c r="N66" i="11"/>
  <c r="O66" i="11" s="1"/>
  <c r="P66" i="11" s="1"/>
  <c r="Q66" i="11" s="1"/>
  <c r="R66" i="11" s="1"/>
  <c r="S66" i="11" s="1"/>
  <c r="T66" i="11" s="1"/>
  <c r="U66" i="11" s="1"/>
  <c r="V66" i="11" s="1"/>
  <c r="W66" i="11" s="1"/>
  <c r="X66" i="11" s="1"/>
  <c r="Y66" i="11" s="1"/>
  <c r="Z66" i="11" s="1"/>
  <c r="AA66" i="11" s="1"/>
  <c r="AB66" i="11" s="1"/>
  <c r="AC66" i="11" s="1"/>
  <c r="AD66" i="11" s="1"/>
  <c r="AE66" i="11" s="1"/>
  <c r="AF66" i="11" s="1"/>
  <c r="AG66" i="11" s="1"/>
  <c r="AH66" i="11" s="1"/>
  <c r="AI66" i="11" s="1"/>
  <c r="AJ66" i="11" s="1"/>
  <c r="F65" i="11"/>
  <c r="F72" i="11" s="1"/>
  <c r="R65" i="11"/>
  <c r="R72" i="11" s="1"/>
  <c r="Z65" i="11"/>
  <c r="Z72" i="11" s="1"/>
  <c r="AH65" i="11"/>
  <c r="AH72" i="11" s="1"/>
  <c r="B69" i="11"/>
  <c r="B68" i="11"/>
  <c r="B67" i="11"/>
  <c r="B66" i="11"/>
  <c r="B65" i="11"/>
  <c r="D60" i="11"/>
  <c r="D68" i="11" s="1"/>
  <c r="E60" i="11"/>
  <c r="F60" i="11"/>
  <c r="F68" i="11" s="1"/>
  <c r="F73" i="11" s="1"/>
  <c r="G60" i="11"/>
  <c r="H60" i="11"/>
  <c r="H68" i="11" s="1"/>
  <c r="I60" i="11"/>
  <c r="J60" i="11"/>
  <c r="J65" i="11" s="1"/>
  <c r="J72" i="11" s="1"/>
  <c r="K60" i="11"/>
  <c r="L60" i="11"/>
  <c r="L68" i="11" s="1"/>
  <c r="M60" i="11"/>
  <c r="N60" i="11"/>
  <c r="N68" i="11" s="1"/>
  <c r="N73" i="11" s="1"/>
  <c r="O60" i="11"/>
  <c r="P60" i="11"/>
  <c r="P68" i="11" s="1"/>
  <c r="Q60" i="11"/>
  <c r="Q65" i="11" s="1"/>
  <c r="Q72" i="11" s="1"/>
  <c r="R60" i="11"/>
  <c r="R68" i="11" s="1"/>
  <c r="R73" i="11" s="1"/>
  <c r="S60" i="11"/>
  <c r="T60" i="11"/>
  <c r="T68" i="11" s="1"/>
  <c r="U60" i="11"/>
  <c r="V60" i="11"/>
  <c r="V65" i="11" s="1"/>
  <c r="V72" i="11" s="1"/>
  <c r="W60" i="11"/>
  <c r="X60" i="11"/>
  <c r="X68" i="11" s="1"/>
  <c r="Y60" i="11"/>
  <c r="Y65" i="11" s="1"/>
  <c r="Y72" i="11" s="1"/>
  <c r="Z60" i="11"/>
  <c r="AA60" i="11"/>
  <c r="AB60" i="11"/>
  <c r="AB68" i="11" s="1"/>
  <c r="AC60" i="11"/>
  <c r="AD60" i="11"/>
  <c r="AD68" i="11" s="1"/>
  <c r="AD73" i="11" s="1"/>
  <c r="AE60" i="11"/>
  <c r="AF60" i="11"/>
  <c r="AF68" i="11" s="1"/>
  <c r="AG60" i="11"/>
  <c r="AG65" i="11" s="1"/>
  <c r="AG72" i="11" s="1"/>
  <c r="AH60" i="11"/>
  <c r="AH68" i="11" s="1"/>
  <c r="AH73" i="11" s="1"/>
  <c r="AI60" i="11"/>
  <c r="AJ60" i="11"/>
  <c r="AJ68" i="11" s="1"/>
  <c r="D61" i="11"/>
  <c r="E61" i="11"/>
  <c r="E67" i="11" s="1"/>
  <c r="F61" i="11"/>
  <c r="F69" i="11" s="1"/>
  <c r="G61" i="11"/>
  <c r="G69" i="11" s="1"/>
  <c r="H61" i="11"/>
  <c r="I61" i="11"/>
  <c r="I67" i="11" s="1"/>
  <c r="J61" i="11"/>
  <c r="J69" i="11" s="1"/>
  <c r="K61" i="11"/>
  <c r="K69" i="11" s="1"/>
  <c r="L61" i="11"/>
  <c r="M61" i="11"/>
  <c r="M67" i="11" s="1"/>
  <c r="N61" i="11"/>
  <c r="N69" i="11" s="1"/>
  <c r="O61" i="11"/>
  <c r="O69" i="11" s="1"/>
  <c r="P61" i="11"/>
  <c r="Q61" i="11"/>
  <c r="Q67" i="11" s="1"/>
  <c r="R61" i="11"/>
  <c r="R69" i="11" s="1"/>
  <c r="S61" i="11"/>
  <c r="S69" i="11" s="1"/>
  <c r="T61" i="11"/>
  <c r="U61" i="11"/>
  <c r="U67" i="11" s="1"/>
  <c r="V61" i="11"/>
  <c r="V69" i="11" s="1"/>
  <c r="W61" i="11"/>
  <c r="W69" i="11" s="1"/>
  <c r="X61" i="11"/>
  <c r="Y61" i="11"/>
  <c r="Y67" i="11" s="1"/>
  <c r="Z61" i="11"/>
  <c r="Z69" i="11" s="1"/>
  <c r="AA61" i="11"/>
  <c r="AA69" i="11" s="1"/>
  <c r="AB61" i="11"/>
  <c r="AC61" i="11"/>
  <c r="AC67" i="11" s="1"/>
  <c r="AD61" i="11"/>
  <c r="AD69" i="11" s="1"/>
  <c r="AE61" i="11"/>
  <c r="AE69" i="11" s="1"/>
  <c r="AF61" i="11"/>
  <c r="AG61" i="11"/>
  <c r="AG67" i="11" s="1"/>
  <c r="AH61" i="11"/>
  <c r="AH69" i="11" s="1"/>
  <c r="AI61" i="11"/>
  <c r="AI69" i="11" s="1"/>
  <c r="AJ61" i="11"/>
  <c r="C60" i="11"/>
  <c r="C61" i="11"/>
  <c r="C67" i="11" s="1"/>
  <c r="B61" i="11"/>
  <c r="B60" i="11"/>
  <c r="D65" i="11" s="1"/>
  <c r="B57" i="11"/>
  <c r="C51" i="11"/>
  <c r="D51" i="11"/>
  <c r="E51" i="11"/>
  <c r="F51" i="11"/>
  <c r="B51" i="11"/>
  <c r="D50" i="11"/>
  <c r="E50" i="11"/>
  <c r="F50" i="11"/>
  <c r="B50" i="11"/>
  <c r="C50" i="11"/>
  <c r="C49" i="11"/>
  <c r="D49" i="11"/>
  <c r="E49" i="11"/>
  <c r="F49" i="11"/>
  <c r="B49" i="11"/>
  <c r="C48" i="11"/>
  <c r="D48" i="11"/>
  <c r="E48" i="11"/>
  <c r="F48" i="11"/>
  <c r="B48" i="11"/>
  <c r="C32" i="6"/>
  <c r="D32" i="6"/>
  <c r="E32" i="6"/>
  <c r="F32" i="6"/>
  <c r="B32" i="6"/>
  <c r="C27" i="6"/>
  <c r="D27" i="6"/>
  <c r="E27" i="6"/>
  <c r="F27" i="6"/>
  <c r="B27" i="6"/>
  <c r="F45" i="11"/>
  <c r="F53" i="11" s="1"/>
  <c r="D176" i="8"/>
  <c r="E176" i="8" s="1"/>
  <c r="F176" i="8" s="1"/>
  <c r="G176" i="8" s="1"/>
  <c r="H176" i="8" s="1"/>
  <c r="I176" i="8" s="1"/>
  <c r="J176" i="8" s="1"/>
  <c r="K176" i="8" s="1"/>
  <c r="L176" i="8" s="1"/>
  <c r="M176" i="8" s="1"/>
  <c r="N176" i="8" s="1"/>
  <c r="O176" i="8" s="1"/>
  <c r="P176" i="8" s="1"/>
  <c r="Q176" i="8" s="1"/>
  <c r="R176" i="8" s="1"/>
  <c r="S176" i="8" s="1"/>
  <c r="T176" i="8" s="1"/>
  <c r="U176" i="8" s="1"/>
  <c r="V176" i="8" s="1"/>
  <c r="W176" i="8" s="1"/>
  <c r="X176" i="8" s="1"/>
  <c r="Y176" i="8" s="1"/>
  <c r="Z176" i="8" s="1"/>
  <c r="AA176" i="8" s="1"/>
  <c r="AB176" i="8" s="1"/>
  <c r="AC176" i="8" s="1"/>
  <c r="AD176" i="8" s="1"/>
  <c r="AE176" i="8" s="1"/>
  <c r="AF176" i="8" s="1"/>
  <c r="AG176" i="8" s="1"/>
  <c r="AH176" i="8" s="1"/>
  <c r="AI176" i="8" s="1"/>
  <c r="AJ176" i="8" s="1"/>
  <c r="AK176" i="8" s="1"/>
  <c r="C176" i="8"/>
  <c r="D177" i="8"/>
  <c r="E177" i="8" s="1"/>
  <c r="F177" i="8" s="1"/>
  <c r="G177" i="8" s="1"/>
  <c r="H177" i="8" s="1"/>
  <c r="I177" i="8" s="1"/>
  <c r="J177" i="8" s="1"/>
  <c r="K177" i="8" s="1"/>
  <c r="L177" i="8" s="1"/>
  <c r="M177" i="8" s="1"/>
  <c r="N177" i="8" s="1"/>
  <c r="O177" i="8" s="1"/>
  <c r="P177" i="8" s="1"/>
  <c r="Q177" i="8" s="1"/>
  <c r="R177" i="8" s="1"/>
  <c r="S177" i="8" s="1"/>
  <c r="T177" i="8" s="1"/>
  <c r="U177" i="8" s="1"/>
  <c r="V177" i="8" s="1"/>
  <c r="W177" i="8" s="1"/>
  <c r="X177" i="8" s="1"/>
  <c r="Y177" i="8" s="1"/>
  <c r="Z177" i="8" s="1"/>
  <c r="AA177" i="8" s="1"/>
  <c r="AB177" i="8" s="1"/>
  <c r="AC177" i="8" s="1"/>
  <c r="AD177" i="8" s="1"/>
  <c r="AE177" i="8" s="1"/>
  <c r="AF177" i="8" s="1"/>
  <c r="AG177" i="8" s="1"/>
  <c r="AH177" i="8" s="1"/>
  <c r="AI177" i="8" s="1"/>
  <c r="AJ177" i="8" s="1"/>
  <c r="AK177" i="8" s="1"/>
  <c r="D178" i="8"/>
  <c r="E178" i="8" s="1"/>
  <c r="F178" i="8" s="1"/>
  <c r="G178" i="8" s="1"/>
  <c r="H178" i="8" s="1"/>
  <c r="I178" i="8" s="1"/>
  <c r="J178" i="8" s="1"/>
  <c r="K178" i="8" s="1"/>
  <c r="L178" i="8" s="1"/>
  <c r="M178" i="8" s="1"/>
  <c r="N178" i="8" s="1"/>
  <c r="O178" i="8" s="1"/>
  <c r="P178" i="8" s="1"/>
  <c r="Q178" i="8" s="1"/>
  <c r="R178" i="8" s="1"/>
  <c r="S178" i="8" s="1"/>
  <c r="T178" i="8" s="1"/>
  <c r="U178" i="8" s="1"/>
  <c r="V178" i="8" s="1"/>
  <c r="W178" i="8" s="1"/>
  <c r="X178" i="8" s="1"/>
  <c r="Y178" i="8" s="1"/>
  <c r="Z178" i="8" s="1"/>
  <c r="AA178" i="8" s="1"/>
  <c r="AB178" i="8" s="1"/>
  <c r="AC178" i="8" s="1"/>
  <c r="AD178" i="8" s="1"/>
  <c r="AE178" i="8" s="1"/>
  <c r="AF178" i="8" s="1"/>
  <c r="AG178" i="8" s="1"/>
  <c r="AH178" i="8" s="1"/>
  <c r="AI178" i="8" s="1"/>
  <c r="AJ178" i="8" s="1"/>
  <c r="AK178" i="8" s="1"/>
  <c r="D179" i="8"/>
  <c r="E179" i="8" s="1"/>
  <c r="F179" i="8" s="1"/>
  <c r="G179" i="8" s="1"/>
  <c r="H179" i="8" s="1"/>
  <c r="I179" i="8" s="1"/>
  <c r="J179" i="8" s="1"/>
  <c r="K179" i="8" s="1"/>
  <c r="L179" i="8" s="1"/>
  <c r="M179" i="8" s="1"/>
  <c r="N179" i="8" s="1"/>
  <c r="O179" i="8" s="1"/>
  <c r="P179" i="8" s="1"/>
  <c r="Q179" i="8" s="1"/>
  <c r="R179" i="8" s="1"/>
  <c r="S179" i="8" s="1"/>
  <c r="T179" i="8" s="1"/>
  <c r="U179" i="8" s="1"/>
  <c r="V179" i="8" s="1"/>
  <c r="W179" i="8" s="1"/>
  <c r="X179" i="8" s="1"/>
  <c r="Y179" i="8" s="1"/>
  <c r="Z179" i="8" s="1"/>
  <c r="AA179" i="8" s="1"/>
  <c r="AB179" i="8" s="1"/>
  <c r="AC179" i="8" s="1"/>
  <c r="AD179" i="8" s="1"/>
  <c r="AE179" i="8" s="1"/>
  <c r="AF179" i="8" s="1"/>
  <c r="AG179" i="8" s="1"/>
  <c r="AH179" i="8" s="1"/>
  <c r="AI179" i="8" s="1"/>
  <c r="AJ179" i="8" s="1"/>
  <c r="AK179" i="8" s="1"/>
  <c r="D180" i="8"/>
  <c r="E180" i="8" s="1"/>
  <c r="F180" i="8" s="1"/>
  <c r="G180" i="8" s="1"/>
  <c r="H180" i="8" s="1"/>
  <c r="I180" i="8" s="1"/>
  <c r="J180" i="8" s="1"/>
  <c r="K180" i="8" s="1"/>
  <c r="L180" i="8" s="1"/>
  <c r="M180" i="8" s="1"/>
  <c r="N180" i="8" s="1"/>
  <c r="O180" i="8" s="1"/>
  <c r="P180" i="8" s="1"/>
  <c r="Q180" i="8" s="1"/>
  <c r="R180" i="8" s="1"/>
  <c r="S180" i="8" s="1"/>
  <c r="T180" i="8" s="1"/>
  <c r="U180" i="8" s="1"/>
  <c r="V180" i="8" s="1"/>
  <c r="W180" i="8" s="1"/>
  <c r="X180" i="8" s="1"/>
  <c r="Y180" i="8" s="1"/>
  <c r="Z180" i="8" s="1"/>
  <c r="AA180" i="8" s="1"/>
  <c r="AB180" i="8" s="1"/>
  <c r="AC180" i="8" s="1"/>
  <c r="AD180" i="8" s="1"/>
  <c r="AE180" i="8" s="1"/>
  <c r="AF180" i="8" s="1"/>
  <c r="AG180" i="8" s="1"/>
  <c r="AH180" i="8" s="1"/>
  <c r="AI180" i="8" s="1"/>
  <c r="AJ180" i="8" s="1"/>
  <c r="AK180" i="8" s="1"/>
  <c r="D181" i="8"/>
  <c r="E181" i="8" s="1"/>
  <c r="F181" i="8" s="1"/>
  <c r="G181" i="8" s="1"/>
  <c r="H181" i="8" s="1"/>
  <c r="I181" i="8" s="1"/>
  <c r="J181" i="8" s="1"/>
  <c r="K181" i="8" s="1"/>
  <c r="L181" i="8" s="1"/>
  <c r="M181" i="8" s="1"/>
  <c r="N181" i="8" s="1"/>
  <c r="O181" i="8" s="1"/>
  <c r="P181" i="8" s="1"/>
  <c r="Q181" i="8" s="1"/>
  <c r="R181" i="8" s="1"/>
  <c r="S181" i="8" s="1"/>
  <c r="T181" i="8" s="1"/>
  <c r="U181" i="8" s="1"/>
  <c r="V181" i="8" s="1"/>
  <c r="W181" i="8" s="1"/>
  <c r="X181" i="8" s="1"/>
  <c r="Y181" i="8" s="1"/>
  <c r="Z181" i="8" s="1"/>
  <c r="AA181" i="8" s="1"/>
  <c r="AB181" i="8" s="1"/>
  <c r="AC181" i="8" s="1"/>
  <c r="AD181" i="8" s="1"/>
  <c r="AE181" i="8" s="1"/>
  <c r="AF181" i="8" s="1"/>
  <c r="AG181" i="8" s="1"/>
  <c r="AH181" i="8" s="1"/>
  <c r="AI181" i="8" s="1"/>
  <c r="AJ181" i="8" s="1"/>
  <c r="AK181" i="8" s="1"/>
  <c r="D182" i="8"/>
  <c r="E182" i="8" s="1"/>
  <c r="F182" i="8"/>
  <c r="G182" i="8" s="1"/>
  <c r="H182" i="8" s="1"/>
  <c r="I182" i="8" s="1"/>
  <c r="J182" i="8" s="1"/>
  <c r="K182" i="8" s="1"/>
  <c r="L182" i="8" s="1"/>
  <c r="M182" i="8" s="1"/>
  <c r="N182" i="8" s="1"/>
  <c r="O182" i="8" s="1"/>
  <c r="P182" i="8" s="1"/>
  <c r="Q182" i="8" s="1"/>
  <c r="R182" i="8" s="1"/>
  <c r="S182" i="8" s="1"/>
  <c r="T182" i="8" s="1"/>
  <c r="U182" i="8" s="1"/>
  <c r="V182" i="8" s="1"/>
  <c r="W182" i="8" s="1"/>
  <c r="X182" i="8" s="1"/>
  <c r="Y182" i="8" s="1"/>
  <c r="Z182" i="8" s="1"/>
  <c r="AA182" i="8" s="1"/>
  <c r="AB182" i="8" s="1"/>
  <c r="AC182" i="8" s="1"/>
  <c r="AD182" i="8" s="1"/>
  <c r="AE182" i="8" s="1"/>
  <c r="AF182" i="8" s="1"/>
  <c r="AG182" i="8" s="1"/>
  <c r="AH182" i="8" s="1"/>
  <c r="AI182" i="8" s="1"/>
  <c r="AJ182" i="8" s="1"/>
  <c r="AK182" i="8" s="1"/>
  <c r="D183" i="8"/>
  <c r="E183" i="8" s="1"/>
  <c r="F183" i="8" s="1"/>
  <c r="G183" i="8" s="1"/>
  <c r="H183" i="8" s="1"/>
  <c r="I183" i="8" s="1"/>
  <c r="J183" i="8" s="1"/>
  <c r="K183" i="8" s="1"/>
  <c r="L183" i="8" s="1"/>
  <c r="M183" i="8" s="1"/>
  <c r="N183" i="8" s="1"/>
  <c r="O183" i="8" s="1"/>
  <c r="P183" i="8" s="1"/>
  <c r="Q183" i="8" s="1"/>
  <c r="R183" i="8" s="1"/>
  <c r="S183" i="8" s="1"/>
  <c r="T183" i="8" s="1"/>
  <c r="U183" i="8" s="1"/>
  <c r="V183" i="8" s="1"/>
  <c r="W183" i="8" s="1"/>
  <c r="X183" i="8" s="1"/>
  <c r="Y183" i="8" s="1"/>
  <c r="Z183" i="8" s="1"/>
  <c r="AA183" i="8" s="1"/>
  <c r="AB183" i="8" s="1"/>
  <c r="AC183" i="8" s="1"/>
  <c r="AD183" i="8" s="1"/>
  <c r="AE183" i="8" s="1"/>
  <c r="AF183" i="8" s="1"/>
  <c r="AG183" i="8" s="1"/>
  <c r="AH183" i="8" s="1"/>
  <c r="AI183" i="8" s="1"/>
  <c r="AJ183" i="8" s="1"/>
  <c r="AK183" i="8" s="1"/>
  <c r="D184" i="8"/>
  <c r="E184" i="8" s="1"/>
  <c r="F184" i="8" s="1"/>
  <c r="G184" i="8" s="1"/>
  <c r="H184" i="8" s="1"/>
  <c r="I184" i="8" s="1"/>
  <c r="J184" i="8" s="1"/>
  <c r="K184" i="8" s="1"/>
  <c r="L184" i="8" s="1"/>
  <c r="M184" i="8" s="1"/>
  <c r="N184" i="8" s="1"/>
  <c r="O184" i="8" s="1"/>
  <c r="P184" i="8" s="1"/>
  <c r="Q184" i="8" s="1"/>
  <c r="R184" i="8" s="1"/>
  <c r="S184" i="8" s="1"/>
  <c r="T184" i="8" s="1"/>
  <c r="U184" i="8" s="1"/>
  <c r="V184" i="8" s="1"/>
  <c r="W184" i="8" s="1"/>
  <c r="X184" i="8" s="1"/>
  <c r="Y184" i="8" s="1"/>
  <c r="Z184" i="8" s="1"/>
  <c r="AA184" i="8" s="1"/>
  <c r="AB184" i="8" s="1"/>
  <c r="AC184" i="8" s="1"/>
  <c r="AD184" i="8" s="1"/>
  <c r="AE184" i="8" s="1"/>
  <c r="AF184" i="8" s="1"/>
  <c r="AG184" i="8" s="1"/>
  <c r="AH184" i="8" s="1"/>
  <c r="AI184" i="8" s="1"/>
  <c r="AJ184" i="8" s="1"/>
  <c r="AK184" i="8" s="1"/>
  <c r="D185" i="8"/>
  <c r="E185" i="8" s="1"/>
  <c r="F185" i="8"/>
  <c r="G185" i="8" s="1"/>
  <c r="H185" i="8"/>
  <c r="I185" i="8" s="1"/>
  <c r="J185" i="8" s="1"/>
  <c r="K185" i="8" s="1"/>
  <c r="L185" i="8" s="1"/>
  <c r="M185" i="8" s="1"/>
  <c r="N185" i="8" s="1"/>
  <c r="O185" i="8" s="1"/>
  <c r="P185" i="8" s="1"/>
  <c r="Q185" i="8" s="1"/>
  <c r="R185" i="8" s="1"/>
  <c r="S185" i="8" s="1"/>
  <c r="T185" i="8" s="1"/>
  <c r="U185" i="8" s="1"/>
  <c r="V185" i="8" s="1"/>
  <c r="W185" i="8" s="1"/>
  <c r="X185" i="8" s="1"/>
  <c r="Y185" i="8" s="1"/>
  <c r="Z185" i="8" s="1"/>
  <c r="AA185" i="8" s="1"/>
  <c r="AB185" i="8" s="1"/>
  <c r="AC185" i="8" s="1"/>
  <c r="AD185" i="8" s="1"/>
  <c r="AE185" i="8" s="1"/>
  <c r="AF185" i="8" s="1"/>
  <c r="AG185" i="8" s="1"/>
  <c r="AH185" i="8" s="1"/>
  <c r="AI185" i="8" s="1"/>
  <c r="AJ185" i="8" s="1"/>
  <c r="AK185" i="8" s="1"/>
  <c r="D186" i="8"/>
  <c r="E186" i="8"/>
  <c r="F186" i="8" s="1"/>
  <c r="G186" i="8" s="1"/>
  <c r="H186" i="8" s="1"/>
  <c r="I186" i="8" s="1"/>
  <c r="J186" i="8" s="1"/>
  <c r="K186" i="8" s="1"/>
  <c r="L186" i="8" s="1"/>
  <c r="M186" i="8" s="1"/>
  <c r="N186" i="8" s="1"/>
  <c r="O186" i="8" s="1"/>
  <c r="P186" i="8" s="1"/>
  <c r="Q186" i="8" s="1"/>
  <c r="R186" i="8" s="1"/>
  <c r="S186" i="8" s="1"/>
  <c r="T186" i="8" s="1"/>
  <c r="U186" i="8" s="1"/>
  <c r="V186" i="8" s="1"/>
  <c r="W186" i="8" s="1"/>
  <c r="X186" i="8" s="1"/>
  <c r="Y186" i="8" s="1"/>
  <c r="Z186" i="8" s="1"/>
  <c r="AA186" i="8" s="1"/>
  <c r="AB186" i="8" s="1"/>
  <c r="AC186" i="8" s="1"/>
  <c r="AD186" i="8" s="1"/>
  <c r="AE186" i="8" s="1"/>
  <c r="AF186" i="8" s="1"/>
  <c r="AG186" i="8" s="1"/>
  <c r="AH186" i="8" s="1"/>
  <c r="AI186" i="8" s="1"/>
  <c r="AJ186" i="8" s="1"/>
  <c r="AK186" i="8" s="1"/>
  <c r="D187" i="8"/>
  <c r="E187" i="8" s="1"/>
  <c r="F187" i="8" s="1"/>
  <c r="G187" i="8" s="1"/>
  <c r="H187" i="8" s="1"/>
  <c r="I187" i="8" s="1"/>
  <c r="J187" i="8" s="1"/>
  <c r="K187" i="8" s="1"/>
  <c r="L187" i="8" s="1"/>
  <c r="M187" i="8" s="1"/>
  <c r="N187" i="8" s="1"/>
  <c r="O187" i="8" s="1"/>
  <c r="P187" i="8" s="1"/>
  <c r="Q187" i="8" s="1"/>
  <c r="R187" i="8" s="1"/>
  <c r="S187" i="8" s="1"/>
  <c r="T187" i="8" s="1"/>
  <c r="U187" i="8" s="1"/>
  <c r="V187" i="8" s="1"/>
  <c r="W187" i="8"/>
  <c r="X187" i="8" s="1"/>
  <c r="Y187" i="8" s="1"/>
  <c r="Z187" i="8" s="1"/>
  <c r="AA187" i="8" s="1"/>
  <c r="AB187" i="8" s="1"/>
  <c r="AC187" i="8" s="1"/>
  <c r="AD187" i="8" s="1"/>
  <c r="AE187" i="8" s="1"/>
  <c r="AF187" i="8" s="1"/>
  <c r="AG187" i="8" s="1"/>
  <c r="AH187" i="8" s="1"/>
  <c r="AI187" i="8" s="1"/>
  <c r="AJ187" i="8" s="1"/>
  <c r="AK187" i="8" s="1"/>
  <c r="D188" i="8"/>
  <c r="E188" i="8"/>
  <c r="F188" i="8" s="1"/>
  <c r="G188" i="8" s="1"/>
  <c r="H188" i="8" s="1"/>
  <c r="I188" i="8" s="1"/>
  <c r="J188" i="8" s="1"/>
  <c r="K188" i="8" s="1"/>
  <c r="L188" i="8" s="1"/>
  <c r="M188" i="8" s="1"/>
  <c r="N188" i="8" s="1"/>
  <c r="O188" i="8" s="1"/>
  <c r="P188" i="8" s="1"/>
  <c r="Q188" i="8" s="1"/>
  <c r="R188" i="8" s="1"/>
  <c r="S188" i="8" s="1"/>
  <c r="T188" i="8" s="1"/>
  <c r="U188" i="8" s="1"/>
  <c r="V188" i="8" s="1"/>
  <c r="W188" i="8" s="1"/>
  <c r="X188" i="8" s="1"/>
  <c r="Y188" i="8" s="1"/>
  <c r="Z188" i="8" s="1"/>
  <c r="AA188" i="8" s="1"/>
  <c r="AB188" i="8" s="1"/>
  <c r="AC188" i="8" s="1"/>
  <c r="AD188" i="8" s="1"/>
  <c r="AE188" i="8" s="1"/>
  <c r="AF188" i="8" s="1"/>
  <c r="AG188" i="8" s="1"/>
  <c r="AH188" i="8" s="1"/>
  <c r="AI188" i="8" s="1"/>
  <c r="AJ188" i="8" s="1"/>
  <c r="AK188" i="8" s="1"/>
  <c r="D189" i="8"/>
  <c r="E189" i="8" s="1"/>
  <c r="F189" i="8" s="1"/>
  <c r="G189" i="8" s="1"/>
  <c r="H189" i="8" s="1"/>
  <c r="I189" i="8" s="1"/>
  <c r="J189" i="8" s="1"/>
  <c r="K189" i="8" s="1"/>
  <c r="L189" i="8" s="1"/>
  <c r="M189" i="8" s="1"/>
  <c r="N189" i="8" s="1"/>
  <c r="O189" i="8" s="1"/>
  <c r="P189" i="8" s="1"/>
  <c r="Q189" i="8" s="1"/>
  <c r="R189" i="8" s="1"/>
  <c r="S189" i="8" s="1"/>
  <c r="T189" i="8" s="1"/>
  <c r="U189" i="8" s="1"/>
  <c r="V189" i="8" s="1"/>
  <c r="W189" i="8" s="1"/>
  <c r="X189" i="8" s="1"/>
  <c r="Y189" i="8" s="1"/>
  <c r="Z189" i="8" s="1"/>
  <c r="AA189" i="8" s="1"/>
  <c r="AB189" i="8" s="1"/>
  <c r="AC189" i="8" s="1"/>
  <c r="AD189" i="8" s="1"/>
  <c r="AE189" i="8" s="1"/>
  <c r="AF189" i="8" s="1"/>
  <c r="AG189" i="8" s="1"/>
  <c r="AH189" i="8" s="1"/>
  <c r="AI189" i="8" s="1"/>
  <c r="AJ189" i="8" s="1"/>
  <c r="AK189" i="8" s="1"/>
  <c r="D190" i="8"/>
  <c r="E190" i="8"/>
  <c r="F190" i="8"/>
  <c r="G190" i="8" s="1"/>
  <c r="H190" i="8" s="1"/>
  <c r="I190" i="8"/>
  <c r="J190" i="8" s="1"/>
  <c r="K190" i="8" s="1"/>
  <c r="L190" i="8" s="1"/>
  <c r="M190" i="8" s="1"/>
  <c r="N190" i="8" s="1"/>
  <c r="O190" i="8" s="1"/>
  <c r="P190" i="8" s="1"/>
  <c r="Q190" i="8" s="1"/>
  <c r="R190" i="8" s="1"/>
  <c r="S190" i="8" s="1"/>
  <c r="T190" i="8" s="1"/>
  <c r="U190" i="8" s="1"/>
  <c r="V190" i="8" s="1"/>
  <c r="W190" i="8" s="1"/>
  <c r="X190" i="8" s="1"/>
  <c r="Y190" i="8" s="1"/>
  <c r="Z190" i="8" s="1"/>
  <c r="AA190" i="8" s="1"/>
  <c r="AB190" i="8" s="1"/>
  <c r="AC190" i="8" s="1"/>
  <c r="AD190" i="8" s="1"/>
  <c r="AE190" i="8" s="1"/>
  <c r="AF190" i="8" s="1"/>
  <c r="AG190" i="8" s="1"/>
  <c r="AH190" i="8" s="1"/>
  <c r="AI190" i="8" s="1"/>
  <c r="AJ190" i="8" s="1"/>
  <c r="AK190" i="8" s="1"/>
  <c r="D191" i="8"/>
  <c r="E191" i="8" s="1"/>
  <c r="F191" i="8" s="1"/>
  <c r="G191" i="8"/>
  <c r="H191" i="8" s="1"/>
  <c r="I191" i="8" s="1"/>
  <c r="J191" i="8" s="1"/>
  <c r="K191" i="8" s="1"/>
  <c r="L191" i="8" s="1"/>
  <c r="M191" i="8" s="1"/>
  <c r="N191" i="8" s="1"/>
  <c r="O191" i="8" s="1"/>
  <c r="P191" i="8" s="1"/>
  <c r="Q191" i="8" s="1"/>
  <c r="R191" i="8" s="1"/>
  <c r="S191" i="8" s="1"/>
  <c r="T191" i="8" s="1"/>
  <c r="U191" i="8" s="1"/>
  <c r="V191" i="8" s="1"/>
  <c r="W191" i="8" s="1"/>
  <c r="X191" i="8" s="1"/>
  <c r="Y191" i="8" s="1"/>
  <c r="Z191" i="8" s="1"/>
  <c r="AA191" i="8" s="1"/>
  <c r="AB191" i="8" s="1"/>
  <c r="AC191" i="8" s="1"/>
  <c r="AD191" i="8" s="1"/>
  <c r="AE191" i="8" s="1"/>
  <c r="AF191" i="8" s="1"/>
  <c r="AG191" i="8" s="1"/>
  <c r="AH191" i="8" s="1"/>
  <c r="AI191" i="8" s="1"/>
  <c r="AJ191" i="8" s="1"/>
  <c r="AK191" i="8" s="1"/>
  <c r="D192" i="8"/>
  <c r="E192" i="8"/>
  <c r="F192" i="8"/>
  <c r="G192" i="8" s="1"/>
  <c r="H192" i="8" s="1"/>
  <c r="I192" i="8" s="1"/>
  <c r="J192" i="8" s="1"/>
  <c r="K192" i="8" s="1"/>
  <c r="L192" i="8" s="1"/>
  <c r="M192" i="8" s="1"/>
  <c r="N192" i="8" s="1"/>
  <c r="O192" i="8" s="1"/>
  <c r="P192" i="8" s="1"/>
  <c r="Q192" i="8" s="1"/>
  <c r="R192" i="8" s="1"/>
  <c r="S192" i="8" s="1"/>
  <c r="T192" i="8" s="1"/>
  <c r="U192" i="8" s="1"/>
  <c r="V192" i="8" s="1"/>
  <c r="W192" i="8" s="1"/>
  <c r="X192" i="8" s="1"/>
  <c r="Y192" i="8" s="1"/>
  <c r="Z192" i="8" s="1"/>
  <c r="AA192" i="8" s="1"/>
  <c r="AB192" i="8" s="1"/>
  <c r="AC192" i="8" s="1"/>
  <c r="AD192" i="8" s="1"/>
  <c r="AE192" i="8" s="1"/>
  <c r="AF192" i="8" s="1"/>
  <c r="AG192" i="8" s="1"/>
  <c r="AH192" i="8" s="1"/>
  <c r="AI192" i="8" s="1"/>
  <c r="AJ192" i="8" s="1"/>
  <c r="AK192" i="8" s="1"/>
  <c r="D193" i="8"/>
  <c r="E193" i="8" s="1"/>
  <c r="F193" i="8" s="1"/>
  <c r="G193" i="8" s="1"/>
  <c r="H193" i="8" s="1"/>
  <c r="I193" i="8" s="1"/>
  <c r="J193" i="8" s="1"/>
  <c r="K193" i="8" s="1"/>
  <c r="L193" i="8" s="1"/>
  <c r="M193" i="8" s="1"/>
  <c r="N193" i="8" s="1"/>
  <c r="O193" i="8" s="1"/>
  <c r="P193" i="8" s="1"/>
  <c r="Q193" i="8" s="1"/>
  <c r="R193" i="8" s="1"/>
  <c r="S193" i="8" s="1"/>
  <c r="T193" i="8" s="1"/>
  <c r="U193" i="8" s="1"/>
  <c r="V193" i="8" s="1"/>
  <c r="W193" i="8" s="1"/>
  <c r="X193" i="8" s="1"/>
  <c r="Y193" i="8" s="1"/>
  <c r="Z193" i="8" s="1"/>
  <c r="AA193" i="8" s="1"/>
  <c r="AB193" i="8" s="1"/>
  <c r="AC193" i="8" s="1"/>
  <c r="AD193" i="8" s="1"/>
  <c r="AE193" i="8" s="1"/>
  <c r="AF193" i="8" s="1"/>
  <c r="AG193" i="8" s="1"/>
  <c r="AH193" i="8" s="1"/>
  <c r="AI193" i="8" s="1"/>
  <c r="AJ193" i="8" s="1"/>
  <c r="AK193" i="8" s="1"/>
  <c r="D194" i="8"/>
  <c r="E194" i="8"/>
  <c r="F194" i="8" s="1"/>
  <c r="G194" i="8" s="1"/>
  <c r="H194" i="8" s="1"/>
  <c r="I194" i="8" s="1"/>
  <c r="J194" i="8" s="1"/>
  <c r="K194" i="8" s="1"/>
  <c r="L194" i="8" s="1"/>
  <c r="M194" i="8" s="1"/>
  <c r="N194" i="8" s="1"/>
  <c r="O194" i="8" s="1"/>
  <c r="P194" i="8" s="1"/>
  <c r="Q194" i="8" s="1"/>
  <c r="R194" i="8" s="1"/>
  <c r="S194" i="8" s="1"/>
  <c r="T194" i="8" s="1"/>
  <c r="U194" i="8" s="1"/>
  <c r="V194" i="8" s="1"/>
  <c r="W194" i="8" s="1"/>
  <c r="X194" i="8" s="1"/>
  <c r="Y194" i="8" s="1"/>
  <c r="Z194" i="8" s="1"/>
  <c r="AA194" i="8" s="1"/>
  <c r="AB194" i="8" s="1"/>
  <c r="AC194" i="8" s="1"/>
  <c r="AD194" i="8" s="1"/>
  <c r="AE194" i="8" s="1"/>
  <c r="AF194" i="8" s="1"/>
  <c r="AG194" i="8" s="1"/>
  <c r="AH194" i="8" s="1"/>
  <c r="AI194" i="8" s="1"/>
  <c r="AJ194" i="8" s="1"/>
  <c r="AK194" i="8" s="1"/>
  <c r="C194" i="8"/>
  <c r="C193" i="8"/>
  <c r="C192" i="8"/>
  <c r="C191" i="8"/>
  <c r="C190" i="8"/>
  <c r="C189" i="8"/>
  <c r="C187" i="8"/>
  <c r="C186" i="8"/>
  <c r="C185" i="8"/>
  <c r="C184" i="8"/>
  <c r="C183" i="8"/>
  <c r="C182" i="8"/>
  <c r="C181" i="8"/>
  <c r="C180" i="8"/>
  <c r="C179" i="8"/>
  <c r="C178" i="8"/>
  <c r="C177" i="8"/>
  <c r="D151" i="8"/>
  <c r="E151" i="8" s="1"/>
  <c r="F151" i="8" s="1"/>
  <c r="G151" i="8" s="1"/>
  <c r="H151" i="8" s="1"/>
  <c r="I151" i="8" s="1"/>
  <c r="J151" i="8" s="1"/>
  <c r="K151" i="8" s="1"/>
  <c r="L151" i="8" s="1"/>
  <c r="M151" i="8" s="1"/>
  <c r="N151" i="8" s="1"/>
  <c r="O151" i="8" s="1"/>
  <c r="P151" i="8" s="1"/>
  <c r="Q151" i="8" s="1"/>
  <c r="R151" i="8" s="1"/>
  <c r="S151" i="8" s="1"/>
  <c r="T151" i="8" s="1"/>
  <c r="U151" i="8" s="1"/>
  <c r="V151" i="8" s="1"/>
  <c r="W151" i="8" s="1"/>
  <c r="X151" i="8" s="1"/>
  <c r="Y151" i="8" s="1"/>
  <c r="Z151" i="8" s="1"/>
  <c r="AA151" i="8" s="1"/>
  <c r="AB151" i="8" s="1"/>
  <c r="AC151" i="8" s="1"/>
  <c r="AD151" i="8" s="1"/>
  <c r="AE151" i="8" s="1"/>
  <c r="AF151" i="8" s="1"/>
  <c r="AG151" i="8" s="1"/>
  <c r="AH151" i="8" s="1"/>
  <c r="AI151" i="8" s="1"/>
  <c r="AJ151" i="8" s="1"/>
  <c r="AK151" i="8" s="1"/>
  <c r="D152" i="8"/>
  <c r="E152" i="8"/>
  <c r="F152" i="8" s="1"/>
  <c r="G152" i="8" s="1"/>
  <c r="H152" i="8" s="1"/>
  <c r="I152" i="8" s="1"/>
  <c r="J152" i="8" s="1"/>
  <c r="K152" i="8" s="1"/>
  <c r="L152" i="8" s="1"/>
  <c r="M152" i="8" s="1"/>
  <c r="N152" i="8" s="1"/>
  <c r="O152" i="8" s="1"/>
  <c r="P152" i="8" s="1"/>
  <c r="Q152" i="8" s="1"/>
  <c r="R152" i="8" s="1"/>
  <c r="S152" i="8" s="1"/>
  <c r="T152" i="8" s="1"/>
  <c r="U152" i="8" s="1"/>
  <c r="V152" i="8" s="1"/>
  <c r="W152" i="8" s="1"/>
  <c r="X152" i="8" s="1"/>
  <c r="Y152" i="8" s="1"/>
  <c r="Z152" i="8" s="1"/>
  <c r="AA152" i="8" s="1"/>
  <c r="AB152" i="8" s="1"/>
  <c r="AC152" i="8" s="1"/>
  <c r="AD152" i="8" s="1"/>
  <c r="AE152" i="8" s="1"/>
  <c r="AF152" i="8" s="1"/>
  <c r="AG152" i="8" s="1"/>
  <c r="AH152" i="8" s="1"/>
  <c r="AI152" i="8" s="1"/>
  <c r="AJ152" i="8" s="1"/>
  <c r="AK152" i="8" s="1"/>
  <c r="D153" i="8"/>
  <c r="E153" i="8" s="1"/>
  <c r="F153" i="8" s="1"/>
  <c r="G153" i="8" s="1"/>
  <c r="H153" i="8" s="1"/>
  <c r="I153" i="8" s="1"/>
  <c r="J153" i="8" s="1"/>
  <c r="K153" i="8" s="1"/>
  <c r="L153" i="8" s="1"/>
  <c r="M153" i="8" s="1"/>
  <c r="N153" i="8" s="1"/>
  <c r="O153" i="8" s="1"/>
  <c r="P153" i="8" s="1"/>
  <c r="Q153" i="8" s="1"/>
  <c r="R153" i="8" s="1"/>
  <c r="S153" i="8" s="1"/>
  <c r="T153" i="8" s="1"/>
  <c r="U153" i="8" s="1"/>
  <c r="V153" i="8" s="1"/>
  <c r="W153" i="8" s="1"/>
  <c r="X153" i="8" s="1"/>
  <c r="Y153" i="8" s="1"/>
  <c r="Z153" i="8" s="1"/>
  <c r="AA153" i="8" s="1"/>
  <c r="AB153" i="8" s="1"/>
  <c r="AC153" i="8" s="1"/>
  <c r="AD153" i="8" s="1"/>
  <c r="AE153" i="8" s="1"/>
  <c r="AF153" i="8" s="1"/>
  <c r="AG153" i="8" s="1"/>
  <c r="AH153" i="8" s="1"/>
  <c r="AI153" i="8" s="1"/>
  <c r="AJ153" i="8" s="1"/>
  <c r="AK153" i="8" s="1"/>
  <c r="D154" i="8"/>
  <c r="E154" i="8"/>
  <c r="F154" i="8" s="1"/>
  <c r="G154" i="8" s="1"/>
  <c r="H154" i="8" s="1"/>
  <c r="I154" i="8" s="1"/>
  <c r="J154" i="8" s="1"/>
  <c r="K154" i="8" s="1"/>
  <c r="L154" i="8" s="1"/>
  <c r="M154" i="8" s="1"/>
  <c r="N154" i="8" s="1"/>
  <c r="O154" i="8" s="1"/>
  <c r="P154" i="8" s="1"/>
  <c r="Q154" i="8" s="1"/>
  <c r="R154" i="8" s="1"/>
  <c r="S154" i="8" s="1"/>
  <c r="T154" i="8" s="1"/>
  <c r="U154" i="8" s="1"/>
  <c r="V154" i="8" s="1"/>
  <c r="W154" i="8" s="1"/>
  <c r="X154" i="8" s="1"/>
  <c r="Y154" i="8" s="1"/>
  <c r="Z154" i="8" s="1"/>
  <c r="AA154" i="8" s="1"/>
  <c r="AB154" i="8" s="1"/>
  <c r="AC154" i="8" s="1"/>
  <c r="AD154" i="8" s="1"/>
  <c r="AE154" i="8" s="1"/>
  <c r="AF154" i="8" s="1"/>
  <c r="AG154" i="8" s="1"/>
  <c r="AH154" i="8" s="1"/>
  <c r="AI154" i="8" s="1"/>
  <c r="AJ154" i="8" s="1"/>
  <c r="AK154" i="8" s="1"/>
  <c r="D155" i="8"/>
  <c r="E155" i="8" s="1"/>
  <c r="F155" i="8" s="1"/>
  <c r="G155" i="8" s="1"/>
  <c r="H155" i="8" s="1"/>
  <c r="I155" i="8" s="1"/>
  <c r="J155" i="8" s="1"/>
  <c r="K155" i="8" s="1"/>
  <c r="L155" i="8" s="1"/>
  <c r="M155" i="8" s="1"/>
  <c r="N155" i="8" s="1"/>
  <c r="O155" i="8" s="1"/>
  <c r="P155" i="8" s="1"/>
  <c r="Q155" i="8" s="1"/>
  <c r="R155" i="8" s="1"/>
  <c r="S155" i="8" s="1"/>
  <c r="T155" i="8" s="1"/>
  <c r="U155" i="8" s="1"/>
  <c r="V155" i="8" s="1"/>
  <c r="W155" i="8" s="1"/>
  <c r="X155" i="8" s="1"/>
  <c r="Y155" i="8" s="1"/>
  <c r="Z155" i="8" s="1"/>
  <c r="AA155" i="8" s="1"/>
  <c r="AB155" i="8" s="1"/>
  <c r="AC155" i="8" s="1"/>
  <c r="AD155" i="8" s="1"/>
  <c r="AE155" i="8" s="1"/>
  <c r="AF155" i="8" s="1"/>
  <c r="AG155" i="8" s="1"/>
  <c r="AH155" i="8" s="1"/>
  <c r="AI155" i="8" s="1"/>
  <c r="AJ155" i="8" s="1"/>
  <c r="AK155" i="8" s="1"/>
  <c r="D156" i="8"/>
  <c r="E156" i="8"/>
  <c r="F156" i="8" s="1"/>
  <c r="G156" i="8" s="1"/>
  <c r="H156" i="8" s="1"/>
  <c r="I156" i="8" s="1"/>
  <c r="J156" i="8" s="1"/>
  <c r="K156" i="8" s="1"/>
  <c r="L156" i="8" s="1"/>
  <c r="M156" i="8" s="1"/>
  <c r="N156" i="8" s="1"/>
  <c r="O156" i="8" s="1"/>
  <c r="P156" i="8" s="1"/>
  <c r="Q156" i="8" s="1"/>
  <c r="R156" i="8" s="1"/>
  <c r="S156" i="8" s="1"/>
  <c r="T156" i="8" s="1"/>
  <c r="U156" i="8" s="1"/>
  <c r="V156" i="8" s="1"/>
  <c r="W156" i="8" s="1"/>
  <c r="X156" i="8" s="1"/>
  <c r="Y156" i="8" s="1"/>
  <c r="Z156" i="8" s="1"/>
  <c r="AA156" i="8" s="1"/>
  <c r="AB156" i="8" s="1"/>
  <c r="AC156" i="8" s="1"/>
  <c r="AD156" i="8" s="1"/>
  <c r="AE156" i="8" s="1"/>
  <c r="AF156" i="8" s="1"/>
  <c r="AG156" i="8" s="1"/>
  <c r="AH156" i="8" s="1"/>
  <c r="AI156" i="8" s="1"/>
  <c r="AJ156" i="8" s="1"/>
  <c r="AK156" i="8" s="1"/>
  <c r="D157" i="8"/>
  <c r="E157" i="8" s="1"/>
  <c r="F157" i="8" s="1"/>
  <c r="G157" i="8" s="1"/>
  <c r="H157" i="8" s="1"/>
  <c r="I157" i="8" s="1"/>
  <c r="J157" i="8" s="1"/>
  <c r="K157" i="8" s="1"/>
  <c r="L157" i="8" s="1"/>
  <c r="M157" i="8" s="1"/>
  <c r="N157" i="8" s="1"/>
  <c r="O157" i="8" s="1"/>
  <c r="P157" i="8" s="1"/>
  <c r="Q157" i="8" s="1"/>
  <c r="R157" i="8" s="1"/>
  <c r="S157" i="8" s="1"/>
  <c r="T157" i="8" s="1"/>
  <c r="U157" i="8" s="1"/>
  <c r="V157" i="8" s="1"/>
  <c r="W157" i="8" s="1"/>
  <c r="X157" i="8" s="1"/>
  <c r="Y157" i="8" s="1"/>
  <c r="Z157" i="8" s="1"/>
  <c r="AA157" i="8" s="1"/>
  <c r="AB157" i="8" s="1"/>
  <c r="AC157" i="8" s="1"/>
  <c r="AD157" i="8" s="1"/>
  <c r="AE157" i="8" s="1"/>
  <c r="AF157" i="8" s="1"/>
  <c r="AG157" i="8" s="1"/>
  <c r="AH157" i="8" s="1"/>
  <c r="AI157" i="8" s="1"/>
  <c r="AJ157" i="8" s="1"/>
  <c r="AK157" i="8" s="1"/>
  <c r="C157" i="8"/>
  <c r="C156" i="8"/>
  <c r="C155" i="8"/>
  <c r="C154" i="8"/>
  <c r="C153" i="8"/>
  <c r="C152" i="8"/>
  <c r="C151" i="8"/>
  <c r="D165" i="8"/>
  <c r="E165" i="8"/>
  <c r="F165" i="8" s="1"/>
  <c r="G165" i="8" s="1"/>
  <c r="H165" i="8" s="1"/>
  <c r="I165" i="8"/>
  <c r="J165" i="8" s="1"/>
  <c r="K165" i="8" s="1"/>
  <c r="L165" i="8" s="1"/>
  <c r="M165" i="8" s="1"/>
  <c r="N165" i="8" s="1"/>
  <c r="O165" i="8" s="1"/>
  <c r="P165" i="8" s="1"/>
  <c r="Q165" i="8" s="1"/>
  <c r="R165" i="8" s="1"/>
  <c r="S165" i="8" s="1"/>
  <c r="T165" i="8" s="1"/>
  <c r="U165" i="8" s="1"/>
  <c r="V165" i="8" s="1"/>
  <c r="W165" i="8" s="1"/>
  <c r="X165" i="8" s="1"/>
  <c r="Y165" i="8" s="1"/>
  <c r="Z165" i="8" s="1"/>
  <c r="AA165" i="8" s="1"/>
  <c r="AB165" i="8" s="1"/>
  <c r="AC165" i="8" s="1"/>
  <c r="AD165" i="8" s="1"/>
  <c r="AE165" i="8" s="1"/>
  <c r="AF165" i="8" s="1"/>
  <c r="AG165" i="8" s="1"/>
  <c r="AH165" i="8" s="1"/>
  <c r="AI165" i="8" s="1"/>
  <c r="AJ165" i="8" s="1"/>
  <c r="AK165" i="8" s="1"/>
  <c r="D166" i="8"/>
  <c r="E166" i="8" s="1"/>
  <c r="F166" i="8" s="1"/>
  <c r="G166" i="8" s="1"/>
  <c r="H166" i="8" s="1"/>
  <c r="I166" i="8" s="1"/>
  <c r="J166" i="8" s="1"/>
  <c r="K166" i="8" s="1"/>
  <c r="L166" i="8" s="1"/>
  <c r="M166" i="8" s="1"/>
  <c r="N166" i="8" s="1"/>
  <c r="O166" i="8" s="1"/>
  <c r="P166" i="8" s="1"/>
  <c r="Q166" i="8" s="1"/>
  <c r="R166" i="8" s="1"/>
  <c r="S166" i="8"/>
  <c r="T166" i="8" s="1"/>
  <c r="U166" i="8" s="1"/>
  <c r="V166" i="8" s="1"/>
  <c r="W166" i="8" s="1"/>
  <c r="X166" i="8" s="1"/>
  <c r="Y166" i="8" s="1"/>
  <c r="Z166" i="8" s="1"/>
  <c r="AA166" i="8" s="1"/>
  <c r="AB166" i="8" s="1"/>
  <c r="AC166" i="8" s="1"/>
  <c r="AD166" i="8" s="1"/>
  <c r="AE166" i="8" s="1"/>
  <c r="AF166" i="8" s="1"/>
  <c r="AG166" i="8" s="1"/>
  <c r="AH166" i="8" s="1"/>
  <c r="AI166" i="8" s="1"/>
  <c r="AJ166" i="8" s="1"/>
  <c r="AK166" i="8" s="1"/>
  <c r="D167" i="8"/>
  <c r="E167" i="8"/>
  <c r="F167" i="8"/>
  <c r="G167" i="8"/>
  <c r="H167" i="8"/>
  <c r="I167" i="8"/>
  <c r="J167" i="8"/>
  <c r="K167" i="8"/>
  <c r="L167" i="8"/>
  <c r="M167" i="8"/>
  <c r="N167" i="8"/>
  <c r="O167" i="8"/>
  <c r="P167" i="8"/>
  <c r="Q167" i="8"/>
  <c r="R167" i="8"/>
  <c r="S167" i="8"/>
  <c r="T167" i="8"/>
  <c r="U167" i="8"/>
  <c r="V167" i="8"/>
  <c r="W167" i="8"/>
  <c r="X167" i="8"/>
  <c r="Y167" i="8"/>
  <c r="Z167" i="8"/>
  <c r="AA167" i="8"/>
  <c r="AB167" i="8"/>
  <c r="AC167" i="8"/>
  <c r="AD167" i="8"/>
  <c r="AE167" i="8"/>
  <c r="AF167" i="8"/>
  <c r="AG167" i="8"/>
  <c r="AH167" i="8"/>
  <c r="AI167" i="8"/>
  <c r="AJ167" i="8"/>
  <c r="AK167" i="8"/>
  <c r="D168" i="8"/>
  <c r="E168" i="8"/>
  <c r="F168" i="8"/>
  <c r="G168" i="8"/>
  <c r="H168" i="8"/>
  <c r="I168" i="8"/>
  <c r="J168" i="8"/>
  <c r="K168" i="8"/>
  <c r="L168" i="8"/>
  <c r="M168" i="8"/>
  <c r="N168" i="8"/>
  <c r="O168" i="8"/>
  <c r="P168" i="8"/>
  <c r="Q168" i="8"/>
  <c r="R168" i="8"/>
  <c r="S168" i="8"/>
  <c r="T168" i="8"/>
  <c r="U168" i="8"/>
  <c r="V168" i="8"/>
  <c r="W168" i="8"/>
  <c r="X168" i="8"/>
  <c r="Y168" i="8"/>
  <c r="Z168" i="8"/>
  <c r="AA168" i="8"/>
  <c r="AB168" i="8"/>
  <c r="AC168" i="8"/>
  <c r="AD168" i="8"/>
  <c r="AE168" i="8"/>
  <c r="AF168" i="8"/>
  <c r="AG168" i="8"/>
  <c r="AH168" i="8"/>
  <c r="AI168" i="8"/>
  <c r="AJ168" i="8"/>
  <c r="AK168" i="8"/>
  <c r="D169"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AJ169" i="8"/>
  <c r="AK169" i="8"/>
  <c r="D170"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AJ170" i="8"/>
  <c r="AK170" i="8"/>
  <c r="D171"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AJ171" i="8"/>
  <c r="AK171" i="8"/>
  <c r="D172"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AJ172" i="8"/>
  <c r="AK172" i="8"/>
  <c r="D173"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AJ173" i="8"/>
  <c r="AK173" i="8"/>
  <c r="D174"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AJ174" i="8"/>
  <c r="AK174" i="8"/>
  <c r="D175" i="8"/>
  <c r="E175" i="8"/>
  <c r="F175" i="8" s="1"/>
  <c r="G175" i="8" s="1"/>
  <c r="H175" i="8" s="1"/>
  <c r="I175" i="8" s="1"/>
  <c r="J175" i="8" s="1"/>
  <c r="K175" i="8" s="1"/>
  <c r="L175" i="8" s="1"/>
  <c r="M175" i="8" s="1"/>
  <c r="N175" i="8" s="1"/>
  <c r="O175" i="8" s="1"/>
  <c r="P175" i="8" s="1"/>
  <c r="Q175" i="8" s="1"/>
  <c r="R175" i="8" s="1"/>
  <c r="S175" i="8" s="1"/>
  <c r="T175" i="8" s="1"/>
  <c r="U175" i="8" s="1"/>
  <c r="V175" i="8" s="1"/>
  <c r="W175" i="8" s="1"/>
  <c r="X175" i="8" s="1"/>
  <c r="Y175" i="8" s="1"/>
  <c r="Z175" i="8" s="1"/>
  <c r="AA175" i="8" s="1"/>
  <c r="AB175" i="8" s="1"/>
  <c r="AC175" i="8" s="1"/>
  <c r="AD175" i="8" s="1"/>
  <c r="AE175" i="8" s="1"/>
  <c r="AF175" i="8" s="1"/>
  <c r="AG175" i="8" s="1"/>
  <c r="AH175" i="8" s="1"/>
  <c r="AI175" i="8" s="1"/>
  <c r="AJ175" i="8" s="1"/>
  <c r="AK175" i="8" s="1"/>
  <c r="C175" i="8"/>
  <c r="C166" i="8"/>
  <c r="C165" i="8"/>
  <c r="D102" i="8"/>
  <c r="E102" i="8"/>
  <c r="F102" i="8" s="1"/>
  <c r="G102" i="8" s="1"/>
  <c r="H102" i="8" s="1"/>
  <c r="I102" i="8"/>
  <c r="J102" i="8" s="1"/>
  <c r="K102" i="8" s="1"/>
  <c r="L102" i="8" s="1"/>
  <c r="M102" i="8" s="1"/>
  <c r="N102" i="8" s="1"/>
  <c r="O102" i="8" s="1"/>
  <c r="P102" i="8" s="1"/>
  <c r="Q102" i="8" s="1"/>
  <c r="R102" i="8" s="1"/>
  <c r="S102" i="8" s="1"/>
  <c r="T102" i="8" s="1"/>
  <c r="U102" i="8" s="1"/>
  <c r="V102" i="8" s="1"/>
  <c r="W102" i="8" s="1"/>
  <c r="X102" i="8" s="1"/>
  <c r="Y102" i="8" s="1"/>
  <c r="Z102" i="8" s="1"/>
  <c r="AA102" i="8" s="1"/>
  <c r="AB102" i="8" s="1"/>
  <c r="AC102" i="8" s="1"/>
  <c r="AD102" i="8" s="1"/>
  <c r="AE102" i="8" s="1"/>
  <c r="AF102" i="8" s="1"/>
  <c r="AG102" i="8" s="1"/>
  <c r="AH102" i="8" s="1"/>
  <c r="AI102" i="8" s="1"/>
  <c r="AJ102" i="8" s="1"/>
  <c r="AK102" i="8" s="1"/>
  <c r="D103" i="8"/>
  <c r="D104" i="8"/>
  <c r="E104" i="8"/>
  <c r="F104" i="8" s="1"/>
  <c r="G104" i="8" s="1"/>
  <c r="H104" i="8" s="1"/>
  <c r="I104" i="8"/>
  <c r="J104" i="8" s="1"/>
  <c r="K104" i="8" s="1"/>
  <c r="L104" i="8" s="1"/>
  <c r="M104" i="8"/>
  <c r="N104" i="8" s="1"/>
  <c r="O104" i="8" s="1"/>
  <c r="P104" i="8" s="1"/>
  <c r="Q104" i="8" s="1"/>
  <c r="R104" i="8" s="1"/>
  <c r="S104" i="8" s="1"/>
  <c r="T104" i="8" s="1"/>
  <c r="U104" i="8" s="1"/>
  <c r="V104" i="8" s="1"/>
  <c r="W104" i="8" s="1"/>
  <c r="X104" i="8" s="1"/>
  <c r="Y104" i="8" s="1"/>
  <c r="Z104" i="8" s="1"/>
  <c r="AA104" i="8" s="1"/>
  <c r="AB104" i="8" s="1"/>
  <c r="AC104" i="8" s="1"/>
  <c r="AD104" i="8" s="1"/>
  <c r="AE104" i="8" s="1"/>
  <c r="AF104" i="8" s="1"/>
  <c r="AG104" i="8" s="1"/>
  <c r="AH104" i="8" s="1"/>
  <c r="AI104" i="8" s="1"/>
  <c r="AJ104" i="8" s="1"/>
  <c r="AK104" i="8" s="1"/>
  <c r="D105" i="8"/>
  <c r="E105" i="8" s="1"/>
  <c r="F105" i="8" s="1"/>
  <c r="G105" i="8"/>
  <c r="H105" i="8" s="1"/>
  <c r="I105" i="8" s="1"/>
  <c r="J105" i="8" s="1"/>
  <c r="K105" i="8" s="1"/>
  <c r="L105" i="8" s="1"/>
  <c r="M105" i="8" s="1"/>
  <c r="N105" i="8" s="1"/>
  <c r="O105" i="8" s="1"/>
  <c r="P105" i="8" s="1"/>
  <c r="Q105" i="8" s="1"/>
  <c r="R105" i="8" s="1"/>
  <c r="S105" i="8" s="1"/>
  <c r="T105" i="8" s="1"/>
  <c r="U105" i="8" s="1"/>
  <c r="V105" i="8" s="1"/>
  <c r="W105" i="8" s="1"/>
  <c r="X105" i="8" s="1"/>
  <c r="Y105" i="8" s="1"/>
  <c r="Z105" i="8" s="1"/>
  <c r="AA105" i="8" s="1"/>
  <c r="AB105" i="8" s="1"/>
  <c r="AC105" i="8" s="1"/>
  <c r="AD105" i="8" s="1"/>
  <c r="AE105" i="8" s="1"/>
  <c r="AF105" i="8" s="1"/>
  <c r="AG105" i="8" s="1"/>
  <c r="AH105" i="8" s="1"/>
  <c r="AI105" i="8" s="1"/>
  <c r="AJ105" i="8" s="1"/>
  <c r="AK105" i="8" s="1"/>
  <c r="D106" i="8"/>
  <c r="E106" i="8"/>
  <c r="F106" i="8" s="1"/>
  <c r="G106" i="8" s="1"/>
  <c r="H106" i="8" s="1"/>
  <c r="I106" i="8"/>
  <c r="J106" i="8" s="1"/>
  <c r="K106" i="8" s="1"/>
  <c r="L106" i="8" s="1"/>
  <c r="M106" i="8"/>
  <c r="N106" i="8" s="1"/>
  <c r="O106" i="8" s="1"/>
  <c r="P106" i="8" s="1"/>
  <c r="Q106" i="8"/>
  <c r="R106" i="8" s="1"/>
  <c r="S106" i="8" s="1"/>
  <c r="T106" i="8" s="1"/>
  <c r="U106" i="8" s="1"/>
  <c r="V106" i="8" s="1"/>
  <c r="W106" i="8" s="1"/>
  <c r="X106" i="8" s="1"/>
  <c r="Y106" i="8" s="1"/>
  <c r="Z106" i="8" s="1"/>
  <c r="AA106" i="8" s="1"/>
  <c r="AB106" i="8" s="1"/>
  <c r="AC106" i="8" s="1"/>
  <c r="AD106" i="8" s="1"/>
  <c r="AE106" i="8" s="1"/>
  <c r="AF106" i="8" s="1"/>
  <c r="AG106" i="8" s="1"/>
  <c r="AH106" i="8" s="1"/>
  <c r="AI106" i="8" s="1"/>
  <c r="AJ106" i="8" s="1"/>
  <c r="AK106" i="8" s="1"/>
  <c r="D107" i="8"/>
  <c r="E107" i="8" s="1"/>
  <c r="F107" i="8"/>
  <c r="G107" i="8" s="1"/>
  <c r="H107" i="8" s="1"/>
  <c r="I107" i="8" s="1"/>
  <c r="J107" i="8" s="1"/>
  <c r="K107" i="8" s="1"/>
  <c r="L107" i="8" s="1"/>
  <c r="M107" i="8" s="1"/>
  <c r="N107" i="8"/>
  <c r="O107" i="8" s="1"/>
  <c r="P107" i="8" s="1"/>
  <c r="Q107" i="8" s="1"/>
  <c r="R107" i="8" s="1"/>
  <c r="S107" i="8" s="1"/>
  <c r="T107" i="8" s="1"/>
  <c r="U107" i="8" s="1"/>
  <c r="V107" i="8" s="1"/>
  <c r="W107" i="8" s="1"/>
  <c r="X107" i="8" s="1"/>
  <c r="Y107" i="8" s="1"/>
  <c r="Z107" i="8" s="1"/>
  <c r="AA107" i="8" s="1"/>
  <c r="AB107" i="8" s="1"/>
  <c r="AC107" i="8" s="1"/>
  <c r="AD107" i="8" s="1"/>
  <c r="AE107" i="8" s="1"/>
  <c r="AF107" i="8" s="1"/>
  <c r="AG107" i="8" s="1"/>
  <c r="AH107" i="8" s="1"/>
  <c r="AI107" i="8" s="1"/>
  <c r="AJ107" i="8" s="1"/>
  <c r="AK107" i="8" s="1"/>
  <c r="D108" i="8"/>
  <c r="E108" i="8" s="1"/>
  <c r="F108" i="8" s="1"/>
  <c r="G108" i="8" s="1"/>
  <c r="H108" i="8" s="1"/>
  <c r="I108" i="8" s="1"/>
  <c r="J108" i="8" s="1"/>
  <c r="K108" i="8" s="1"/>
  <c r="L108" i="8" s="1"/>
  <c r="M108" i="8" s="1"/>
  <c r="N108" i="8" s="1"/>
  <c r="O108" i="8" s="1"/>
  <c r="P108" i="8" s="1"/>
  <c r="Q108" i="8" s="1"/>
  <c r="R108" i="8" s="1"/>
  <c r="S108" i="8" s="1"/>
  <c r="T108" i="8" s="1"/>
  <c r="U108" i="8" s="1"/>
  <c r="V108" i="8" s="1"/>
  <c r="W108" i="8" s="1"/>
  <c r="X108" i="8" s="1"/>
  <c r="Y108" i="8" s="1"/>
  <c r="Z108" i="8" s="1"/>
  <c r="AA108" i="8" s="1"/>
  <c r="AB108" i="8" s="1"/>
  <c r="AC108" i="8" s="1"/>
  <c r="AD108" i="8" s="1"/>
  <c r="AE108" i="8" s="1"/>
  <c r="AF108" i="8" s="1"/>
  <c r="AG108" i="8" s="1"/>
  <c r="AH108" i="8" s="1"/>
  <c r="AI108" i="8" s="1"/>
  <c r="AJ108" i="8" s="1"/>
  <c r="AK108" i="8" s="1"/>
  <c r="D109" i="8"/>
  <c r="E109" i="8"/>
  <c r="F109" i="8" s="1"/>
  <c r="G109" i="8" s="1"/>
  <c r="H109" i="8" s="1"/>
  <c r="I109" i="8" s="1"/>
  <c r="J109" i="8" s="1"/>
  <c r="K109" i="8" s="1"/>
  <c r="L109" i="8" s="1"/>
  <c r="M109" i="8" s="1"/>
  <c r="N109" i="8" s="1"/>
  <c r="O109" i="8" s="1"/>
  <c r="P109" i="8" s="1"/>
  <c r="Q109" i="8" s="1"/>
  <c r="R109" i="8" s="1"/>
  <c r="S109" i="8" s="1"/>
  <c r="T109" i="8" s="1"/>
  <c r="U109" i="8" s="1"/>
  <c r="V109" i="8" s="1"/>
  <c r="W109" i="8" s="1"/>
  <c r="X109" i="8" s="1"/>
  <c r="Y109" i="8" s="1"/>
  <c r="Z109" i="8" s="1"/>
  <c r="AA109" i="8" s="1"/>
  <c r="AB109" i="8" s="1"/>
  <c r="AC109" i="8" s="1"/>
  <c r="AD109" i="8" s="1"/>
  <c r="AE109" i="8" s="1"/>
  <c r="AF109" i="8" s="1"/>
  <c r="AG109" i="8" s="1"/>
  <c r="AH109" i="8" s="1"/>
  <c r="AI109" i="8" s="1"/>
  <c r="AJ109" i="8" s="1"/>
  <c r="AK109" i="8" s="1"/>
  <c r="D110" i="8"/>
  <c r="E110" i="8" s="1"/>
  <c r="F110" i="8" s="1"/>
  <c r="G110" i="8" s="1"/>
  <c r="H110" i="8" s="1"/>
  <c r="I110" i="8" s="1"/>
  <c r="J110" i="8" s="1"/>
  <c r="K110" i="8"/>
  <c r="L110" i="8" s="1"/>
  <c r="M110" i="8" s="1"/>
  <c r="N110" i="8" s="1"/>
  <c r="O110" i="8" s="1"/>
  <c r="P110" i="8" s="1"/>
  <c r="Q110" i="8" s="1"/>
  <c r="R110" i="8" s="1"/>
  <c r="S110" i="8" s="1"/>
  <c r="T110" i="8" s="1"/>
  <c r="U110" i="8" s="1"/>
  <c r="V110" i="8" s="1"/>
  <c r="W110" i="8" s="1"/>
  <c r="X110" i="8" s="1"/>
  <c r="Y110" i="8" s="1"/>
  <c r="Z110" i="8" s="1"/>
  <c r="AA110" i="8" s="1"/>
  <c r="AB110" i="8" s="1"/>
  <c r="AC110" i="8" s="1"/>
  <c r="AD110" i="8" s="1"/>
  <c r="AE110" i="8" s="1"/>
  <c r="AF110" i="8" s="1"/>
  <c r="AG110" i="8" s="1"/>
  <c r="AH110" i="8" s="1"/>
  <c r="AI110" i="8" s="1"/>
  <c r="AJ110" i="8" s="1"/>
  <c r="AK110" i="8" s="1"/>
  <c r="D111" i="8"/>
  <c r="E111" i="8"/>
  <c r="F111" i="8"/>
  <c r="G111" i="8" s="1"/>
  <c r="H111" i="8" s="1"/>
  <c r="I111" i="8" s="1"/>
  <c r="J111" i="8" s="1"/>
  <c r="K111" i="8" s="1"/>
  <c r="L111" i="8" s="1"/>
  <c r="M111" i="8" s="1"/>
  <c r="N111" i="8" s="1"/>
  <c r="O111" i="8" s="1"/>
  <c r="P111" i="8" s="1"/>
  <c r="Q111" i="8" s="1"/>
  <c r="R111" i="8" s="1"/>
  <c r="S111" i="8" s="1"/>
  <c r="T111" i="8" s="1"/>
  <c r="U111" i="8" s="1"/>
  <c r="V111" i="8" s="1"/>
  <c r="W111" i="8" s="1"/>
  <c r="X111" i="8" s="1"/>
  <c r="Y111" i="8" s="1"/>
  <c r="Z111" i="8" s="1"/>
  <c r="AA111" i="8" s="1"/>
  <c r="AB111" i="8" s="1"/>
  <c r="AC111" i="8" s="1"/>
  <c r="AD111" i="8" s="1"/>
  <c r="AE111" i="8" s="1"/>
  <c r="AF111" i="8" s="1"/>
  <c r="AG111" i="8" s="1"/>
  <c r="AH111" i="8" s="1"/>
  <c r="AI111" i="8" s="1"/>
  <c r="AJ111" i="8" s="1"/>
  <c r="AK111" i="8" s="1"/>
  <c r="D112" i="8"/>
  <c r="E112" i="8" s="1"/>
  <c r="F112" i="8" s="1"/>
  <c r="G112" i="8" s="1"/>
  <c r="H112" i="8" s="1"/>
  <c r="I112" i="8" s="1"/>
  <c r="J112" i="8" s="1"/>
  <c r="K112" i="8" s="1"/>
  <c r="L112" i="8"/>
  <c r="M112" i="8" s="1"/>
  <c r="N112" i="8" s="1"/>
  <c r="O112" i="8" s="1"/>
  <c r="P112" i="8" s="1"/>
  <c r="Q112" i="8" s="1"/>
  <c r="R112" i="8" s="1"/>
  <c r="S112" i="8" s="1"/>
  <c r="T112" i="8" s="1"/>
  <c r="U112" i="8" s="1"/>
  <c r="V112" i="8" s="1"/>
  <c r="W112" i="8" s="1"/>
  <c r="X112" i="8" s="1"/>
  <c r="Y112" i="8" s="1"/>
  <c r="Z112" i="8" s="1"/>
  <c r="AA112" i="8" s="1"/>
  <c r="AB112" i="8" s="1"/>
  <c r="AC112" i="8" s="1"/>
  <c r="AD112" i="8" s="1"/>
  <c r="AE112" i="8" s="1"/>
  <c r="AF112" i="8" s="1"/>
  <c r="AG112" i="8" s="1"/>
  <c r="AH112" i="8" s="1"/>
  <c r="AI112" i="8" s="1"/>
  <c r="AJ112" i="8" s="1"/>
  <c r="AK112" i="8" s="1"/>
  <c r="D113" i="8"/>
  <c r="E113" i="8" s="1"/>
  <c r="F113" i="8" s="1"/>
  <c r="G113" i="8" s="1"/>
  <c r="H113" i="8"/>
  <c r="I113" i="8" s="1"/>
  <c r="J113" i="8" s="1"/>
  <c r="K113" i="8" s="1"/>
  <c r="L113" i="8" s="1"/>
  <c r="M113" i="8" s="1"/>
  <c r="N113" i="8" s="1"/>
  <c r="O113" i="8" s="1"/>
  <c r="P113" i="8" s="1"/>
  <c r="Q113" i="8" s="1"/>
  <c r="R113" i="8" s="1"/>
  <c r="S113" i="8" s="1"/>
  <c r="T113" i="8" s="1"/>
  <c r="U113" i="8" s="1"/>
  <c r="V113" i="8" s="1"/>
  <c r="W113" i="8" s="1"/>
  <c r="X113" i="8" s="1"/>
  <c r="Y113" i="8" s="1"/>
  <c r="Z113" i="8" s="1"/>
  <c r="AA113" i="8" s="1"/>
  <c r="AB113" i="8" s="1"/>
  <c r="AC113" i="8" s="1"/>
  <c r="AD113" i="8" s="1"/>
  <c r="AE113" i="8" s="1"/>
  <c r="AF113" i="8" s="1"/>
  <c r="AG113" i="8" s="1"/>
  <c r="AH113" i="8" s="1"/>
  <c r="AI113" i="8" s="1"/>
  <c r="AJ113" i="8" s="1"/>
  <c r="AK113" i="8" s="1"/>
  <c r="D114" i="8"/>
  <c r="E114" i="8" s="1"/>
  <c r="F114" i="8"/>
  <c r="G114" i="8" s="1"/>
  <c r="H114" i="8" s="1"/>
  <c r="I114" i="8" s="1"/>
  <c r="J114" i="8" s="1"/>
  <c r="K114" i="8" s="1"/>
  <c r="L114" i="8" s="1"/>
  <c r="M114" i="8" s="1"/>
  <c r="N114" i="8" s="1"/>
  <c r="O114" i="8" s="1"/>
  <c r="P114" i="8" s="1"/>
  <c r="Q114" i="8" s="1"/>
  <c r="R114" i="8" s="1"/>
  <c r="S114" i="8" s="1"/>
  <c r="T114" i="8" s="1"/>
  <c r="U114" i="8" s="1"/>
  <c r="V114" i="8" s="1"/>
  <c r="W114" i="8" s="1"/>
  <c r="X114" i="8" s="1"/>
  <c r="Y114" i="8" s="1"/>
  <c r="Z114" i="8" s="1"/>
  <c r="AA114" i="8" s="1"/>
  <c r="AB114" i="8" s="1"/>
  <c r="AC114" i="8" s="1"/>
  <c r="AD114" i="8" s="1"/>
  <c r="AE114" i="8" s="1"/>
  <c r="AF114" i="8" s="1"/>
  <c r="AG114" i="8" s="1"/>
  <c r="AH114" i="8" s="1"/>
  <c r="AI114" i="8" s="1"/>
  <c r="AJ114" i="8" s="1"/>
  <c r="AK114" i="8" s="1"/>
  <c r="D115" i="8"/>
  <c r="E115" i="8" s="1"/>
  <c r="F115" i="8" s="1"/>
  <c r="G115" i="8" s="1"/>
  <c r="H115" i="8" s="1"/>
  <c r="I115" i="8" s="1"/>
  <c r="J115" i="8" s="1"/>
  <c r="K115" i="8" s="1"/>
  <c r="L115" i="8" s="1"/>
  <c r="M115" i="8" s="1"/>
  <c r="N115" i="8"/>
  <c r="O115" i="8" s="1"/>
  <c r="P115" i="8" s="1"/>
  <c r="Q115" i="8" s="1"/>
  <c r="R115" i="8" s="1"/>
  <c r="S115" i="8" s="1"/>
  <c r="T115" i="8" s="1"/>
  <c r="U115" i="8" s="1"/>
  <c r="V115" i="8" s="1"/>
  <c r="W115" i="8" s="1"/>
  <c r="X115" i="8" s="1"/>
  <c r="Y115" i="8" s="1"/>
  <c r="Z115" i="8" s="1"/>
  <c r="AA115" i="8" s="1"/>
  <c r="AB115" i="8" s="1"/>
  <c r="AC115" i="8" s="1"/>
  <c r="AD115" i="8" s="1"/>
  <c r="AE115" i="8" s="1"/>
  <c r="AF115" i="8" s="1"/>
  <c r="AG115" i="8" s="1"/>
  <c r="AH115" i="8" s="1"/>
  <c r="AI115" i="8" s="1"/>
  <c r="AJ115" i="8" s="1"/>
  <c r="AK115" i="8" s="1"/>
  <c r="D116" i="8"/>
  <c r="E116" i="8" s="1"/>
  <c r="F116" i="8"/>
  <c r="G116" i="8" s="1"/>
  <c r="H116" i="8" s="1"/>
  <c r="I116" i="8" s="1"/>
  <c r="J116" i="8" s="1"/>
  <c r="K116" i="8" s="1"/>
  <c r="L116" i="8" s="1"/>
  <c r="M116" i="8" s="1"/>
  <c r="N116" i="8" s="1"/>
  <c r="O116" i="8" s="1"/>
  <c r="P116" i="8" s="1"/>
  <c r="Q116" i="8" s="1"/>
  <c r="R116" i="8" s="1"/>
  <c r="S116" i="8" s="1"/>
  <c r="T116" i="8" s="1"/>
  <c r="U116" i="8" s="1"/>
  <c r="V116" i="8" s="1"/>
  <c r="W116" i="8" s="1"/>
  <c r="X116" i="8" s="1"/>
  <c r="Y116" i="8" s="1"/>
  <c r="Z116" i="8" s="1"/>
  <c r="AA116" i="8" s="1"/>
  <c r="AB116" i="8" s="1"/>
  <c r="AC116" i="8" s="1"/>
  <c r="AD116" i="8" s="1"/>
  <c r="AE116" i="8" s="1"/>
  <c r="AF116" i="8" s="1"/>
  <c r="AG116" i="8" s="1"/>
  <c r="AH116" i="8" s="1"/>
  <c r="AI116" i="8" s="1"/>
  <c r="AJ116" i="8" s="1"/>
  <c r="AK116" i="8" s="1"/>
  <c r="D117" i="8"/>
  <c r="E117" i="8" s="1"/>
  <c r="F117" i="8" s="1"/>
  <c r="G117" i="8" s="1"/>
  <c r="H117" i="8" s="1"/>
  <c r="I117" i="8" s="1"/>
  <c r="J117" i="8" s="1"/>
  <c r="K117" i="8" s="1"/>
  <c r="L117" i="8" s="1"/>
  <c r="M117" i="8" s="1"/>
  <c r="N117" i="8" s="1"/>
  <c r="O117" i="8" s="1"/>
  <c r="P117" i="8" s="1"/>
  <c r="Q117" i="8" s="1"/>
  <c r="R117" i="8" s="1"/>
  <c r="S117" i="8" s="1"/>
  <c r="T117" i="8" s="1"/>
  <c r="U117" i="8" s="1"/>
  <c r="V117" i="8" s="1"/>
  <c r="W117" i="8" s="1"/>
  <c r="X117" i="8" s="1"/>
  <c r="Y117" i="8" s="1"/>
  <c r="Z117" i="8" s="1"/>
  <c r="AA117" i="8" s="1"/>
  <c r="AB117" i="8" s="1"/>
  <c r="AC117" i="8" s="1"/>
  <c r="AD117" i="8" s="1"/>
  <c r="AE117" i="8" s="1"/>
  <c r="AF117" i="8" s="1"/>
  <c r="AG117" i="8" s="1"/>
  <c r="AH117" i="8" s="1"/>
  <c r="AI117" i="8" s="1"/>
  <c r="AJ117" i="8"/>
  <c r="AK117" i="8" s="1"/>
  <c r="D118" i="8"/>
  <c r="E118" i="8" s="1"/>
  <c r="F118" i="8" s="1"/>
  <c r="G118" i="8"/>
  <c r="H118" i="8" s="1"/>
  <c r="I118" i="8" s="1"/>
  <c r="J118" i="8" s="1"/>
  <c r="K118" i="8" s="1"/>
  <c r="L118" i="8"/>
  <c r="M118" i="8" s="1"/>
  <c r="N118" i="8" s="1"/>
  <c r="O118" i="8" s="1"/>
  <c r="P118" i="8" s="1"/>
  <c r="Q118" i="8" s="1"/>
  <c r="R118" i="8"/>
  <c r="S118" i="8" s="1"/>
  <c r="T118" i="8" s="1"/>
  <c r="U118" i="8" s="1"/>
  <c r="V118" i="8" s="1"/>
  <c r="W118" i="8" s="1"/>
  <c r="X118" i="8" s="1"/>
  <c r="Y118" i="8" s="1"/>
  <c r="Z118" i="8" s="1"/>
  <c r="AA118" i="8" s="1"/>
  <c r="AB118" i="8" s="1"/>
  <c r="AC118" i="8" s="1"/>
  <c r="AD118" i="8" s="1"/>
  <c r="AE118" i="8" s="1"/>
  <c r="AF118" i="8" s="1"/>
  <c r="AG118" i="8" s="1"/>
  <c r="AH118" i="8" s="1"/>
  <c r="AI118" i="8" s="1"/>
  <c r="AJ118" i="8" s="1"/>
  <c r="AK118" i="8" s="1"/>
  <c r="D119" i="8"/>
  <c r="E119" i="8"/>
  <c r="F119" i="8" s="1"/>
  <c r="G119" i="8" s="1"/>
  <c r="H119" i="8" s="1"/>
  <c r="I119" i="8" s="1"/>
  <c r="J119" i="8"/>
  <c r="K119" i="8" s="1"/>
  <c r="L119" i="8" s="1"/>
  <c r="M119" i="8" s="1"/>
  <c r="N119" i="8" s="1"/>
  <c r="O119" i="8" s="1"/>
  <c r="P119" i="8"/>
  <c r="Q119" i="8" s="1"/>
  <c r="R119" i="8" s="1"/>
  <c r="S119" i="8" s="1"/>
  <c r="T119" i="8" s="1"/>
  <c r="U119" i="8"/>
  <c r="V119" i="8" s="1"/>
  <c r="W119" i="8" s="1"/>
  <c r="X119" i="8" s="1"/>
  <c r="Y119" i="8" s="1"/>
  <c r="Z119" i="8" s="1"/>
  <c r="AA119" i="8" s="1"/>
  <c r="AB119" i="8" s="1"/>
  <c r="AC119" i="8" s="1"/>
  <c r="AD119" i="8" s="1"/>
  <c r="AE119" i="8" s="1"/>
  <c r="AF119" i="8" s="1"/>
  <c r="AG119" i="8" s="1"/>
  <c r="AH119" i="8" s="1"/>
  <c r="AI119" i="8" s="1"/>
  <c r="AJ119" i="8" s="1"/>
  <c r="AK119" i="8" s="1"/>
  <c r="D120" i="8"/>
  <c r="E120" i="8" s="1"/>
  <c r="F120" i="8"/>
  <c r="G120" i="8" s="1"/>
  <c r="H120" i="8"/>
  <c r="I120" i="8" s="1"/>
  <c r="J120" i="8" s="1"/>
  <c r="K120" i="8" s="1"/>
  <c r="L120" i="8" s="1"/>
  <c r="M120" i="8" s="1"/>
  <c r="N120" i="8"/>
  <c r="O120" i="8" s="1"/>
  <c r="P120" i="8" s="1"/>
  <c r="Q120" i="8" s="1"/>
  <c r="R120" i="8" s="1"/>
  <c r="S120" i="8"/>
  <c r="T120" i="8" s="1"/>
  <c r="U120" i="8" s="1"/>
  <c r="V120" i="8" s="1"/>
  <c r="W120" i="8" s="1"/>
  <c r="X120" i="8" s="1"/>
  <c r="Y120" i="8" s="1"/>
  <c r="Z120" i="8" s="1"/>
  <c r="AA120" i="8" s="1"/>
  <c r="AB120" i="8" s="1"/>
  <c r="AC120" i="8" s="1"/>
  <c r="AD120" i="8" s="1"/>
  <c r="AE120" i="8" s="1"/>
  <c r="AF120" i="8" s="1"/>
  <c r="AG120" i="8" s="1"/>
  <c r="AH120" i="8" s="1"/>
  <c r="AI120" i="8" s="1"/>
  <c r="AJ120" i="8" s="1"/>
  <c r="AK120" i="8" s="1"/>
  <c r="D121" i="8"/>
  <c r="E121" i="8"/>
  <c r="F121" i="8" s="1"/>
  <c r="G121" i="8"/>
  <c r="H121" i="8" s="1"/>
  <c r="I121" i="8" s="1"/>
  <c r="J121" i="8" s="1"/>
  <c r="K121" i="8"/>
  <c r="L121" i="8" s="1"/>
  <c r="M121" i="8" s="1"/>
  <c r="N121" i="8" s="1"/>
  <c r="O121" i="8" s="1"/>
  <c r="P121" i="8" s="1"/>
  <c r="Q121" i="8" s="1"/>
  <c r="R121" i="8" s="1"/>
  <c r="S121" i="8" s="1"/>
  <c r="T121" i="8" s="1"/>
  <c r="U121" i="8" s="1"/>
  <c r="V121" i="8" s="1"/>
  <c r="W121" i="8" s="1"/>
  <c r="X121" i="8" s="1"/>
  <c r="Y121" i="8" s="1"/>
  <c r="Z121" i="8" s="1"/>
  <c r="AA121" i="8"/>
  <c r="AB121" i="8" s="1"/>
  <c r="AC121" i="8" s="1"/>
  <c r="AD121" i="8" s="1"/>
  <c r="AE121" i="8" s="1"/>
  <c r="AF121" i="8" s="1"/>
  <c r="AG121" i="8" s="1"/>
  <c r="AH121" i="8" s="1"/>
  <c r="AI121" i="8" s="1"/>
  <c r="AJ121" i="8" s="1"/>
  <c r="AK121" i="8" s="1"/>
  <c r="D122" i="8"/>
  <c r="E122" i="8"/>
  <c r="F122" i="8" s="1"/>
  <c r="G122" i="8" s="1"/>
  <c r="H122" i="8" s="1"/>
  <c r="I122" i="8" s="1"/>
  <c r="J122" i="8" s="1"/>
  <c r="K122" i="8" s="1"/>
  <c r="L122" i="8" s="1"/>
  <c r="M122" i="8" s="1"/>
  <c r="N122" i="8" s="1"/>
  <c r="O122" i="8" s="1"/>
  <c r="P122" i="8" s="1"/>
  <c r="Q122" i="8" s="1"/>
  <c r="R122" i="8" s="1"/>
  <c r="S122" i="8" s="1"/>
  <c r="T122" i="8" s="1"/>
  <c r="U122" i="8" s="1"/>
  <c r="V122" i="8" s="1"/>
  <c r="W122" i="8" s="1"/>
  <c r="X122" i="8" s="1"/>
  <c r="Y122" i="8" s="1"/>
  <c r="Z122" i="8" s="1"/>
  <c r="AA122" i="8" s="1"/>
  <c r="AB122" i="8" s="1"/>
  <c r="AC122" i="8" s="1"/>
  <c r="AD122" i="8" s="1"/>
  <c r="AE122" i="8" s="1"/>
  <c r="AF122" i="8" s="1"/>
  <c r="AG122" i="8" s="1"/>
  <c r="AH122" i="8" s="1"/>
  <c r="AI122" i="8" s="1"/>
  <c r="AJ122" i="8" s="1"/>
  <c r="AK122" i="8" s="1"/>
  <c r="D123" i="8"/>
  <c r="E123" i="8"/>
  <c r="F123" i="8" s="1"/>
  <c r="G123" i="8"/>
  <c r="H123" i="8" s="1"/>
  <c r="I123" i="8" s="1"/>
  <c r="J123" i="8" s="1"/>
  <c r="K123" i="8"/>
  <c r="L123" i="8" s="1"/>
  <c r="M123" i="8" s="1"/>
  <c r="N123" i="8" s="1"/>
  <c r="O123" i="8" s="1"/>
  <c r="P123" i="8" s="1"/>
  <c r="Q123" i="8" s="1"/>
  <c r="R123" i="8" s="1"/>
  <c r="S123" i="8" s="1"/>
  <c r="T123" i="8" s="1"/>
  <c r="U123" i="8" s="1"/>
  <c r="V123" i="8" s="1"/>
  <c r="W123" i="8" s="1"/>
  <c r="X123" i="8" s="1"/>
  <c r="Y123" i="8" s="1"/>
  <c r="Z123" i="8" s="1"/>
  <c r="AA123" i="8" s="1"/>
  <c r="AB123" i="8" s="1"/>
  <c r="AC123" i="8" s="1"/>
  <c r="AD123" i="8" s="1"/>
  <c r="AE123" i="8" s="1"/>
  <c r="AF123" i="8" s="1"/>
  <c r="AG123" i="8" s="1"/>
  <c r="AH123" i="8" s="1"/>
  <c r="AI123" i="8" s="1"/>
  <c r="AJ123" i="8" s="1"/>
  <c r="AK123" i="8" s="1"/>
  <c r="D124" i="8"/>
  <c r="E124" i="8"/>
  <c r="F124" i="8" s="1"/>
  <c r="G124" i="8" s="1"/>
  <c r="H124" i="8" s="1"/>
  <c r="I124" i="8" s="1"/>
  <c r="J124" i="8" s="1"/>
  <c r="K124" i="8" s="1"/>
  <c r="L124" i="8" s="1"/>
  <c r="M124" i="8" s="1"/>
  <c r="N124" i="8" s="1"/>
  <c r="O124" i="8" s="1"/>
  <c r="P124" i="8" s="1"/>
  <c r="Q124" i="8" s="1"/>
  <c r="R124" i="8" s="1"/>
  <c r="S124" i="8" s="1"/>
  <c r="T124" i="8" s="1"/>
  <c r="U124" i="8"/>
  <c r="V124" i="8" s="1"/>
  <c r="W124" i="8" s="1"/>
  <c r="X124" i="8" s="1"/>
  <c r="Y124" i="8" s="1"/>
  <c r="Z124" i="8" s="1"/>
  <c r="AA124" i="8" s="1"/>
  <c r="AB124" i="8" s="1"/>
  <c r="AC124" i="8" s="1"/>
  <c r="AD124" i="8" s="1"/>
  <c r="AE124" i="8" s="1"/>
  <c r="AF124" i="8" s="1"/>
  <c r="AG124" i="8" s="1"/>
  <c r="AH124" i="8" s="1"/>
  <c r="AI124" i="8" s="1"/>
  <c r="AJ124" i="8" s="1"/>
  <c r="AK124" i="8" s="1"/>
  <c r="D125" i="8"/>
  <c r="E125" i="8"/>
  <c r="F125" i="8" s="1"/>
  <c r="G125" i="8"/>
  <c r="H125" i="8" s="1"/>
  <c r="I125" i="8" s="1"/>
  <c r="J125" i="8" s="1"/>
  <c r="K125" i="8"/>
  <c r="L125" i="8" s="1"/>
  <c r="M125" i="8" s="1"/>
  <c r="N125" i="8" s="1"/>
  <c r="O125" i="8" s="1"/>
  <c r="P125" i="8" s="1"/>
  <c r="Q125" i="8" s="1"/>
  <c r="R125" i="8" s="1"/>
  <c r="S125" i="8" s="1"/>
  <c r="T125" i="8" s="1"/>
  <c r="U125" i="8" s="1"/>
  <c r="V125" i="8" s="1"/>
  <c r="W125" i="8" s="1"/>
  <c r="X125" i="8" s="1"/>
  <c r="Y125" i="8" s="1"/>
  <c r="Z125" i="8" s="1"/>
  <c r="AA125" i="8"/>
  <c r="AB125" i="8" s="1"/>
  <c r="AC125" i="8" s="1"/>
  <c r="AD125" i="8" s="1"/>
  <c r="AE125" i="8" s="1"/>
  <c r="AF125" i="8" s="1"/>
  <c r="AG125" i="8" s="1"/>
  <c r="AH125" i="8" s="1"/>
  <c r="AI125" i="8" s="1"/>
  <c r="AJ125" i="8" s="1"/>
  <c r="AK125" i="8" s="1"/>
  <c r="D126" i="8"/>
  <c r="E126" i="8"/>
  <c r="F126" i="8" s="1"/>
  <c r="G126" i="8" s="1"/>
  <c r="H126" i="8" s="1"/>
  <c r="I126" i="8" s="1"/>
  <c r="J126" i="8" s="1"/>
  <c r="K126" i="8" s="1"/>
  <c r="L126" i="8" s="1"/>
  <c r="M126" i="8" s="1"/>
  <c r="N126" i="8" s="1"/>
  <c r="O126" i="8" s="1"/>
  <c r="P126" i="8" s="1"/>
  <c r="Q126" i="8" s="1"/>
  <c r="R126" i="8" s="1"/>
  <c r="S126" i="8" s="1"/>
  <c r="T126" i="8" s="1"/>
  <c r="U126" i="8" s="1"/>
  <c r="V126" i="8" s="1"/>
  <c r="W126" i="8" s="1"/>
  <c r="X126" i="8" s="1"/>
  <c r="Y126" i="8" s="1"/>
  <c r="Z126" i="8" s="1"/>
  <c r="AA126" i="8" s="1"/>
  <c r="AB126" i="8" s="1"/>
  <c r="AC126" i="8" s="1"/>
  <c r="AD126" i="8" s="1"/>
  <c r="AE126" i="8" s="1"/>
  <c r="AF126" i="8" s="1"/>
  <c r="AG126" i="8" s="1"/>
  <c r="AH126" i="8" s="1"/>
  <c r="AI126" i="8" s="1"/>
  <c r="AJ126" i="8" s="1"/>
  <c r="AK126" i="8" s="1"/>
  <c r="D127" i="8"/>
  <c r="E127" i="8"/>
  <c r="F127" i="8" s="1"/>
  <c r="G127" i="8"/>
  <c r="H127" i="8" s="1"/>
  <c r="I127" i="8"/>
  <c r="J127" i="8" s="1"/>
  <c r="K127" i="8" s="1"/>
  <c r="L127" i="8" s="1"/>
  <c r="M127" i="8" s="1"/>
  <c r="N127" i="8" s="1"/>
  <c r="O127" i="8" s="1"/>
  <c r="P127" i="8" s="1"/>
  <c r="Q127" i="8"/>
  <c r="R127" i="8" s="1"/>
  <c r="S127" i="8" s="1"/>
  <c r="T127" i="8" s="1"/>
  <c r="U127" i="8" s="1"/>
  <c r="V127" i="8" s="1"/>
  <c r="W127" i="8" s="1"/>
  <c r="X127" i="8" s="1"/>
  <c r="Y127" i="8" s="1"/>
  <c r="Z127" i="8" s="1"/>
  <c r="AA127" i="8" s="1"/>
  <c r="AB127" i="8" s="1"/>
  <c r="AC127" i="8" s="1"/>
  <c r="AD127" i="8" s="1"/>
  <c r="AE127" i="8" s="1"/>
  <c r="AF127" i="8" s="1"/>
  <c r="AG127" i="8" s="1"/>
  <c r="AH127" i="8" s="1"/>
  <c r="AI127" i="8" s="1"/>
  <c r="AJ127" i="8" s="1"/>
  <c r="AK127" i="8" s="1"/>
  <c r="D128" i="8"/>
  <c r="E128" i="8"/>
  <c r="F128" i="8" s="1"/>
  <c r="G128" i="8" s="1"/>
  <c r="H128" i="8" s="1"/>
  <c r="I128" i="8" s="1"/>
  <c r="J128" i="8" s="1"/>
  <c r="K128" i="8" s="1"/>
  <c r="L128" i="8" s="1"/>
  <c r="M128" i="8" s="1"/>
  <c r="N128" i="8" s="1"/>
  <c r="O128" i="8" s="1"/>
  <c r="P128" i="8" s="1"/>
  <c r="Q128" i="8" s="1"/>
  <c r="R128" i="8" s="1"/>
  <c r="S128" i="8" s="1"/>
  <c r="T128" i="8" s="1"/>
  <c r="U128" i="8" s="1"/>
  <c r="V128" i="8" s="1"/>
  <c r="W128" i="8" s="1"/>
  <c r="X128" i="8" s="1"/>
  <c r="Y128" i="8" s="1"/>
  <c r="Z128" i="8" s="1"/>
  <c r="AA128" i="8" s="1"/>
  <c r="AB128" i="8" s="1"/>
  <c r="AC128" i="8" s="1"/>
  <c r="AD128" i="8" s="1"/>
  <c r="AE128" i="8" s="1"/>
  <c r="AF128" i="8" s="1"/>
  <c r="AG128" i="8" s="1"/>
  <c r="AH128" i="8" s="1"/>
  <c r="AI128" i="8" s="1"/>
  <c r="AJ128" i="8" s="1"/>
  <c r="AK128" i="8" s="1"/>
  <c r="D129" i="8"/>
  <c r="E129" i="8"/>
  <c r="F129" i="8" s="1"/>
  <c r="G129" i="8"/>
  <c r="H129" i="8" s="1"/>
  <c r="I129" i="8"/>
  <c r="J129" i="8" s="1"/>
  <c r="K129" i="8" s="1"/>
  <c r="L129" i="8" s="1"/>
  <c r="M129" i="8" s="1"/>
  <c r="N129" i="8" s="1"/>
  <c r="O129" i="8" s="1"/>
  <c r="P129" i="8" s="1"/>
  <c r="Q129" i="8" s="1"/>
  <c r="R129" i="8" s="1"/>
  <c r="S129" i="8" s="1"/>
  <c r="T129" i="8" s="1"/>
  <c r="U129" i="8" s="1"/>
  <c r="V129" i="8" s="1"/>
  <c r="W129" i="8" s="1"/>
  <c r="X129" i="8" s="1"/>
  <c r="Y129" i="8" s="1"/>
  <c r="Z129" i="8" s="1"/>
  <c r="AA129" i="8" s="1"/>
  <c r="AB129" i="8" s="1"/>
  <c r="AC129" i="8" s="1"/>
  <c r="AD129" i="8" s="1"/>
  <c r="AE129" i="8" s="1"/>
  <c r="AF129" i="8" s="1"/>
  <c r="AG129" i="8" s="1"/>
  <c r="AH129" i="8" s="1"/>
  <c r="AI129" i="8" s="1"/>
  <c r="AJ129" i="8" s="1"/>
  <c r="AK129" i="8" s="1"/>
  <c r="D130" i="8"/>
  <c r="E130" i="8"/>
  <c r="F130" i="8" s="1"/>
  <c r="G130" i="8" s="1"/>
  <c r="H130" i="8" s="1"/>
  <c r="I130" i="8" s="1"/>
  <c r="J130" i="8" s="1"/>
  <c r="K130" i="8" s="1"/>
  <c r="L130" i="8" s="1"/>
  <c r="M130" i="8"/>
  <c r="N130" i="8" s="1"/>
  <c r="O130" i="8" s="1"/>
  <c r="P130" i="8" s="1"/>
  <c r="Q130" i="8" s="1"/>
  <c r="R130" i="8" s="1"/>
  <c r="S130" i="8" s="1"/>
  <c r="T130" i="8" s="1"/>
  <c r="U130" i="8" s="1"/>
  <c r="V130" i="8" s="1"/>
  <c r="W130" i="8" s="1"/>
  <c r="X130" i="8" s="1"/>
  <c r="Y130" i="8" s="1"/>
  <c r="Z130" i="8" s="1"/>
  <c r="AA130" i="8" s="1"/>
  <c r="AB130" i="8" s="1"/>
  <c r="AC130" i="8" s="1"/>
  <c r="AD130" i="8" s="1"/>
  <c r="AE130" i="8" s="1"/>
  <c r="AF130" i="8" s="1"/>
  <c r="AG130" i="8" s="1"/>
  <c r="AH130" i="8" s="1"/>
  <c r="AI130" i="8" s="1"/>
  <c r="AJ130" i="8" s="1"/>
  <c r="AK130" i="8" s="1"/>
  <c r="D131" i="8"/>
  <c r="E131" i="8"/>
  <c r="F131" i="8" s="1"/>
  <c r="G131" i="8"/>
  <c r="H131" i="8" s="1"/>
  <c r="I131" i="8"/>
  <c r="J131" i="8" s="1"/>
  <c r="K131" i="8" s="1"/>
  <c r="L131" i="8" s="1"/>
  <c r="M131" i="8" s="1"/>
  <c r="N131" i="8" s="1"/>
  <c r="O131" i="8" s="1"/>
  <c r="P131" i="8" s="1"/>
  <c r="Q131" i="8"/>
  <c r="R131" i="8" s="1"/>
  <c r="S131" i="8" s="1"/>
  <c r="T131" i="8" s="1"/>
  <c r="U131" i="8" s="1"/>
  <c r="V131" i="8" s="1"/>
  <c r="W131" i="8" s="1"/>
  <c r="X131" i="8" s="1"/>
  <c r="Y131" i="8" s="1"/>
  <c r="Z131" i="8" s="1"/>
  <c r="AA131" i="8" s="1"/>
  <c r="AB131" i="8" s="1"/>
  <c r="AC131" i="8" s="1"/>
  <c r="AD131" i="8" s="1"/>
  <c r="AE131" i="8" s="1"/>
  <c r="AF131" i="8" s="1"/>
  <c r="AG131" i="8" s="1"/>
  <c r="AH131" i="8" s="1"/>
  <c r="AI131" i="8" s="1"/>
  <c r="AJ131" i="8" s="1"/>
  <c r="AK131" i="8" s="1"/>
  <c r="D132" i="8"/>
  <c r="E132" i="8"/>
  <c r="F132" i="8" s="1"/>
  <c r="G132" i="8" s="1"/>
  <c r="H132" i="8" s="1"/>
  <c r="I132" i="8" s="1"/>
  <c r="J132" i="8" s="1"/>
  <c r="K132" i="8" s="1"/>
  <c r="L132" i="8" s="1"/>
  <c r="M132" i="8" s="1"/>
  <c r="N132" i="8" s="1"/>
  <c r="O132" i="8" s="1"/>
  <c r="P132" i="8" s="1"/>
  <c r="Q132" i="8" s="1"/>
  <c r="R132" i="8" s="1"/>
  <c r="S132" i="8" s="1"/>
  <c r="T132" i="8" s="1"/>
  <c r="U132" i="8" s="1"/>
  <c r="V132" i="8" s="1"/>
  <c r="W132" i="8" s="1"/>
  <c r="X132" i="8" s="1"/>
  <c r="Y132" i="8" s="1"/>
  <c r="Z132" i="8" s="1"/>
  <c r="AA132" i="8" s="1"/>
  <c r="AB132" i="8" s="1"/>
  <c r="AC132" i="8" s="1"/>
  <c r="AD132" i="8" s="1"/>
  <c r="AE132" i="8" s="1"/>
  <c r="AF132" i="8" s="1"/>
  <c r="AG132" i="8" s="1"/>
  <c r="AH132" i="8" s="1"/>
  <c r="AI132" i="8" s="1"/>
  <c r="AJ132" i="8" s="1"/>
  <c r="AK132" i="8" s="1"/>
  <c r="D133" i="8"/>
  <c r="E133" i="8"/>
  <c r="F133" i="8" s="1"/>
  <c r="G133" i="8"/>
  <c r="H133" i="8" s="1"/>
  <c r="I133" i="8"/>
  <c r="J133" i="8" s="1"/>
  <c r="K133" i="8" s="1"/>
  <c r="L133" i="8" s="1"/>
  <c r="M133" i="8" s="1"/>
  <c r="N133" i="8" s="1"/>
  <c r="O133" i="8" s="1"/>
  <c r="P133" i="8" s="1"/>
  <c r="Q133" i="8" s="1"/>
  <c r="R133" i="8" s="1"/>
  <c r="S133" i="8" s="1"/>
  <c r="T133" i="8" s="1"/>
  <c r="U133" i="8" s="1"/>
  <c r="V133" i="8" s="1"/>
  <c r="W133" i="8" s="1"/>
  <c r="X133" i="8" s="1"/>
  <c r="Y133" i="8" s="1"/>
  <c r="Z133" i="8" s="1"/>
  <c r="AA133" i="8" s="1"/>
  <c r="AB133" i="8" s="1"/>
  <c r="AC133" i="8" s="1"/>
  <c r="AD133" i="8" s="1"/>
  <c r="AE133" i="8" s="1"/>
  <c r="AF133" i="8" s="1"/>
  <c r="AG133" i="8" s="1"/>
  <c r="AH133" i="8" s="1"/>
  <c r="AI133" i="8" s="1"/>
  <c r="AJ133" i="8" s="1"/>
  <c r="AK133" i="8" s="1"/>
  <c r="D134" i="8"/>
  <c r="E134" i="8"/>
  <c r="F134" i="8" s="1"/>
  <c r="G134" i="8" s="1"/>
  <c r="H134" i="8" s="1"/>
  <c r="I134" i="8" s="1"/>
  <c r="J134" i="8" s="1"/>
  <c r="K134" i="8" s="1"/>
  <c r="L134" i="8" s="1"/>
  <c r="M134" i="8"/>
  <c r="N134" i="8" s="1"/>
  <c r="O134" i="8" s="1"/>
  <c r="P134" i="8" s="1"/>
  <c r="Q134" i="8" s="1"/>
  <c r="R134" i="8" s="1"/>
  <c r="S134" i="8" s="1"/>
  <c r="T134" i="8" s="1"/>
  <c r="U134" i="8" s="1"/>
  <c r="V134" i="8" s="1"/>
  <c r="W134" i="8" s="1"/>
  <c r="X134" i="8" s="1"/>
  <c r="Y134" i="8" s="1"/>
  <c r="Z134" i="8" s="1"/>
  <c r="AA134" i="8" s="1"/>
  <c r="AB134" i="8" s="1"/>
  <c r="AC134" i="8" s="1"/>
  <c r="AD134" i="8" s="1"/>
  <c r="AE134" i="8" s="1"/>
  <c r="AF134" i="8" s="1"/>
  <c r="AG134" i="8" s="1"/>
  <c r="AH134" i="8" s="1"/>
  <c r="AI134" i="8" s="1"/>
  <c r="AJ134" i="8" s="1"/>
  <c r="AK134" i="8" s="1"/>
  <c r="D135" i="8"/>
  <c r="E135" i="8"/>
  <c r="F135" i="8" s="1"/>
  <c r="G135" i="8"/>
  <c r="H135" i="8" s="1"/>
  <c r="I135" i="8"/>
  <c r="J135" i="8" s="1"/>
  <c r="K135" i="8" s="1"/>
  <c r="L135" i="8" s="1"/>
  <c r="M135" i="8" s="1"/>
  <c r="N135" i="8"/>
  <c r="O135" i="8" s="1"/>
  <c r="P135" i="8" s="1"/>
  <c r="Q135" i="8" s="1"/>
  <c r="R135" i="8" s="1"/>
  <c r="S135" i="8" s="1"/>
  <c r="T135" i="8" s="1"/>
  <c r="U135" i="8" s="1"/>
  <c r="V135" i="8" s="1"/>
  <c r="W135" i="8" s="1"/>
  <c r="X135" i="8" s="1"/>
  <c r="Y135" i="8" s="1"/>
  <c r="Z135" i="8" s="1"/>
  <c r="AA135" i="8" s="1"/>
  <c r="AB135" i="8" s="1"/>
  <c r="AC135" i="8" s="1"/>
  <c r="AD135" i="8" s="1"/>
  <c r="AE135" i="8" s="1"/>
  <c r="AF135" i="8" s="1"/>
  <c r="AG135" i="8" s="1"/>
  <c r="AH135" i="8" s="1"/>
  <c r="AI135" i="8" s="1"/>
  <c r="AJ135" i="8" s="1"/>
  <c r="AK135" i="8" s="1"/>
  <c r="D136" i="8"/>
  <c r="E136" i="8"/>
  <c r="F136" i="8"/>
  <c r="G136" i="8" s="1"/>
  <c r="H136" i="8" s="1"/>
  <c r="I136" i="8" s="1"/>
  <c r="J136" i="8"/>
  <c r="K136" i="8" s="1"/>
  <c r="L136" i="8" s="1"/>
  <c r="M136" i="8" s="1"/>
  <c r="N136" i="8" s="1"/>
  <c r="O136" i="8" s="1"/>
  <c r="P136" i="8" s="1"/>
  <c r="Q136" i="8" s="1"/>
  <c r="R136" i="8" s="1"/>
  <c r="S136" i="8" s="1"/>
  <c r="T136" i="8" s="1"/>
  <c r="U136" i="8" s="1"/>
  <c r="V136" i="8" s="1"/>
  <c r="W136" i="8" s="1"/>
  <c r="X136" i="8" s="1"/>
  <c r="Y136" i="8" s="1"/>
  <c r="Z136" i="8" s="1"/>
  <c r="AA136" i="8" s="1"/>
  <c r="AB136" i="8" s="1"/>
  <c r="AC136" i="8" s="1"/>
  <c r="AD136" i="8" s="1"/>
  <c r="AE136" i="8" s="1"/>
  <c r="AF136" i="8" s="1"/>
  <c r="AG136" i="8" s="1"/>
  <c r="AH136" i="8" s="1"/>
  <c r="AI136" i="8" s="1"/>
  <c r="AJ136" i="8" s="1"/>
  <c r="AK136" i="8" s="1"/>
  <c r="D137" i="8"/>
  <c r="E137" i="8" s="1"/>
  <c r="F137" i="8" s="1"/>
  <c r="G137" i="8" s="1"/>
  <c r="H137" i="8"/>
  <c r="I137" i="8" s="1"/>
  <c r="J137" i="8" s="1"/>
  <c r="K137" i="8" s="1"/>
  <c r="L137" i="8" s="1"/>
  <c r="M137" i="8" s="1"/>
  <c r="N137" i="8" s="1"/>
  <c r="O137" i="8" s="1"/>
  <c r="P137" i="8" s="1"/>
  <c r="Q137" i="8" s="1"/>
  <c r="R137" i="8" s="1"/>
  <c r="S137" i="8" s="1"/>
  <c r="T137" i="8" s="1"/>
  <c r="U137" i="8" s="1"/>
  <c r="V137" i="8" s="1"/>
  <c r="W137" i="8" s="1"/>
  <c r="X137" i="8" s="1"/>
  <c r="Y137" i="8" s="1"/>
  <c r="Z137" i="8" s="1"/>
  <c r="AA137" i="8" s="1"/>
  <c r="AB137" i="8" s="1"/>
  <c r="AC137" i="8" s="1"/>
  <c r="AD137" i="8" s="1"/>
  <c r="AE137" i="8" s="1"/>
  <c r="AF137" i="8" s="1"/>
  <c r="AG137" i="8" s="1"/>
  <c r="AH137" i="8" s="1"/>
  <c r="AI137" i="8" s="1"/>
  <c r="AJ137" i="8" s="1"/>
  <c r="AK137" i="8" s="1"/>
  <c r="D138" i="8"/>
  <c r="E138" i="8"/>
  <c r="F138" i="8"/>
  <c r="G138" i="8" s="1"/>
  <c r="H138" i="8" s="1"/>
  <c r="I138" i="8" s="1"/>
  <c r="J138" i="8" s="1"/>
  <c r="K138" i="8" s="1"/>
  <c r="L138" i="8" s="1"/>
  <c r="M138" i="8" s="1"/>
  <c r="N138" i="8" s="1"/>
  <c r="O138" i="8" s="1"/>
  <c r="P138" i="8" s="1"/>
  <c r="Q138" i="8" s="1"/>
  <c r="R138" i="8" s="1"/>
  <c r="S138" i="8" s="1"/>
  <c r="T138" i="8" s="1"/>
  <c r="U138" i="8" s="1"/>
  <c r="V138" i="8" s="1"/>
  <c r="W138" i="8" s="1"/>
  <c r="X138" i="8" s="1"/>
  <c r="Y138" i="8" s="1"/>
  <c r="Z138" i="8" s="1"/>
  <c r="AA138" i="8" s="1"/>
  <c r="AB138" i="8" s="1"/>
  <c r="AC138" i="8" s="1"/>
  <c r="AD138" i="8" s="1"/>
  <c r="AE138" i="8" s="1"/>
  <c r="AF138" i="8" s="1"/>
  <c r="AG138" i="8" s="1"/>
  <c r="AH138" i="8" s="1"/>
  <c r="AI138" i="8" s="1"/>
  <c r="AJ138" i="8" s="1"/>
  <c r="AK138" i="8" s="1"/>
  <c r="D139" i="8"/>
  <c r="E139" i="8" s="1"/>
  <c r="F139" i="8" s="1"/>
  <c r="G139" i="8" s="1"/>
  <c r="H139" i="8" s="1"/>
  <c r="I139" i="8" s="1"/>
  <c r="J139" i="8" s="1"/>
  <c r="K139" i="8" s="1"/>
  <c r="L139" i="8" s="1"/>
  <c r="M139" i="8" s="1"/>
  <c r="N139" i="8" s="1"/>
  <c r="O139" i="8" s="1"/>
  <c r="P139" i="8" s="1"/>
  <c r="Q139" i="8" s="1"/>
  <c r="R139" i="8" s="1"/>
  <c r="S139" i="8" s="1"/>
  <c r="T139" i="8" s="1"/>
  <c r="U139" i="8" s="1"/>
  <c r="V139" i="8" s="1"/>
  <c r="W139" i="8" s="1"/>
  <c r="X139" i="8" s="1"/>
  <c r="Y139" i="8" s="1"/>
  <c r="Z139" i="8" s="1"/>
  <c r="AA139" i="8" s="1"/>
  <c r="AB139" i="8" s="1"/>
  <c r="AC139" i="8" s="1"/>
  <c r="AD139" i="8" s="1"/>
  <c r="AE139" i="8" s="1"/>
  <c r="AF139" i="8" s="1"/>
  <c r="AG139" i="8" s="1"/>
  <c r="AH139" i="8" s="1"/>
  <c r="AI139" i="8" s="1"/>
  <c r="AJ139" i="8" s="1"/>
  <c r="AK139" i="8" s="1"/>
  <c r="D140" i="8"/>
  <c r="E140" i="8"/>
  <c r="F140" i="8"/>
  <c r="G140" i="8" s="1"/>
  <c r="H140" i="8" s="1"/>
  <c r="I140" i="8" s="1"/>
  <c r="J140" i="8"/>
  <c r="K140" i="8" s="1"/>
  <c r="L140" i="8" s="1"/>
  <c r="M140" i="8" s="1"/>
  <c r="N140" i="8" s="1"/>
  <c r="O140" i="8" s="1"/>
  <c r="P140" i="8" s="1"/>
  <c r="Q140" i="8" s="1"/>
  <c r="R140" i="8" s="1"/>
  <c r="S140" i="8" s="1"/>
  <c r="T140" i="8" s="1"/>
  <c r="U140" i="8" s="1"/>
  <c r="V140" i="8" s="1"/>
  <c r="W140" i="8" s="1"/>
  <c r="X140" i="8" s="1"/>
  <c r="Y140" i="8" s="1"/>
  <c r="Z140" i="8" s="1"/>
  <c r="AA140" i="8" s="1"/>
  <c r="AB140" i="8" s="1"/>
  <c r="AC140" i="8" s="1"/>
  <c r="AD140" i="8" s="1"/>
  <c r="AE140" i="8" s="1"/>
  <c r="AF140" i="8" s="1"/>
  <c r="AG140" i="8" s="1"/>
  <c r="AH140" i="8" s="1"/>
  <c r="AI140" i="8" s="1"/>
  <c r="AJ140" i="8" s="1"/>
  <c r="AK140" i="8" s="1"/>
  <c r="D141" i="8"/>
  <c r="E141" i="8" s="1"/>
  <c r="F141" i="8" s="1"/>
  <c r="G141" i="8" s="1"/>
  <c r="H141" i="8"/>
  <c r="I141" i="8" s="1"/>
  <c r="J141" i="8" s="1"/>
  <c r="K141" i="8" s="1"/>
  <c r="L141" i="8" s="1"/>
  <c r="M141" i="8" s="1"/>
  <c r="N141" i="8" s="1"/>
  <c r="O141" i="8" s="1"/>
  <c r="P141" i="8" s="1"/>
  <c r="Q141" i="8" s="1"/>
  <c r="R141" i="8" s="1"/>
  <c r="S141" i="8" s="1"/>
  <c r="T141" i="8" s="1"/>
  <c r="U141" i="8" s="1"/>
  <c r="V141" i="8" s="1"/>
  <c r="W141" i="8" s="1"/>
  <c r="X141" i="8" s="1"/>
  <c r="Y141" i="8" s="1"/>
  <c r="Z141" i="8" s="1"/>
  <c r="AA141" i="8" s="1"/>
  <c r="AB141" i="8" s="1"/>
  <c r="AC141" i="8" s="1"/>
  <c r="AD141" i="8" s="1"/>
  <c r="AE141" i="8" s="1"/>
  <c r="AF141" i="8" s="1"/>
  <c r="AG141" i="8" s="1"/>
  <c r="AH141" i="8" s="1"/>
  <c r="AI141" i="8" s="1"/>
  <c r="AJ141" i="8" s="1"/>
  <c r="AK141" i="8" s="1"/>
  <c r="D142" i="8"/>
  <c r="E142" i="8"/>
  <c r="F142" i="8" s="1"/>
  <c r="G142" i="8" s="1"/>
  <c r="H142" i="8" s="1"/>
  <c r="I142" i="8" s="1"/>
  <c r="J142" i="8" s="1"/>
  <c r="K142" i="8" s="1"/>
  <c r="L142" i="8" s="1"/>
  <c r="M142" i="8" s="1"/>
  <c r="N142" i="8" s="1"/>
  <c r="O142" i="8" s="1"/>
  <c r="P142" i="8" s="1"/>
  <c r="Q142" i="8" s="1"/>
  <c r="R142" i="8" s="1"/>
  <c r="S142" i="8" s="1"/>
  <c r="T142" i="8" s="1"/>
  <c r="U142" i="8" s="1"/>
  <c r="V142" i="8" s="1"/>
  <c r="W142" i="8" s="1"/>
  <c r="X142" i="8" s="1"/>
  <c r="Y142" i="8" s="1"/>
  <c r="Z142" i="8" s="1"/>
  <c r="AA142" i="8" s="1"/>
  <c r="AB142" i="8" s="1"/>
  <c r="AC142" i="8" s="1"/>
  <c r="AD142" i="8" s="1"/>
  <c r="AE142" i="8" s="1"/>
  <c r="AF142" i="8" s="1"/>
  <c r="AG142" i="8" s="1"/>
  <c r="AH142" i="8" s="1"/>
  <c r="AI142" i="8" s="1"/>
  <c r="AJ142" i="8" s="1"/>
  <c r="AK142" i="8" s="1"/>
  <c r="D143" i="8"/>
  <c r="E143" i="8" s="1"/>
  <c r="F143" i="8" s="1"/>
  <c r="G143" i="8"/>
  <c r="H143" i="8" s="1"/>
  <c r="I143" i="8" s="1"/>
  <c r="J143" i="8" s="1"/>
  <c r="K143" i="8" s="1"/>
  <c r="L143" i="8" s="1"/>
  <c r="M143" i="8" s="1"/>
  <c r="N143" i="8" s="1"/>
  <c r="O143" i="8" s="1"/>
  <c r="P143" i="8" s="1"/>
  <c r="Q143" i="8" s="1"/>
  <c r="R143" i="8" s="1"/>
  <c r="S143" i="8" s="1"/>
  <c r="T143" i="8" s="1"/>
  <c r="U143" i="8" s="1"/>
  <c r="V143" i="8" s="1"/>
  <c r="W143" i="8" s="1"/>
  <c r="X143" i="8" s="1"/>
  <c r="Y143" i="8" s="1"/>
  <c r="Z143" i="8" s="1"/>
  <c r="AA143" i="8" s="1"/>
  <c r="AB143" i="8" s="1"/>
  <c r="AC143" i="8" s="1"/>
  <c r="AD143" i="8" s="1"/>
  <c r="AE143" i="8" s="1"/>
  <c r="AF143" i="8" s="1"/>
  <c r="AG143" i="8" s="1"/>
  <c r="AH143" i="8" s="1"/>
  <c r="AI143" i="8" s="1"/>
  <c r="AJ143" i="8" s="1"/>
  <c r="AK143" i="8" s="1"/>
  <c r="D144" i="8"/>
  <c r="E144" i="8"/>
  <c r="F144" i="8"/>
  <c r="G144" i="8" s="1"/>
  <c r="H144" i="8" s="1"/>
  <c r="I144" i="8" s="1"/>
  <c r="J144" i="8" s="1"/>
  <c r="K144" i="8" s="1"/>
  <c r="L144" i="8" s="1"/>
  <c r="M144" i="8" s="1"/>
  <c r="N144" i="8" s="1"/>
  <c r="O144" i="8" s="1"/>
  <c r="P144" i="8" s="1"/>
  <c r="Q144" i="8" s="1"/>
  <c r="R144" i="8" s="1"/>
  <c r="S144" i="8" s="1"/>
  <c r="T144" i="8" s="1"/>
  <c r="U144" i="8" s="1"/>
  <c r="V144" i="8" s="1"/>
  <c r="W144" i="8" s="1"/>
  <c r="X144" i="8" s="1"/>
  <c r="Y144" i="8" s="1"/>
  <c r="Z144" i="8" s="1"/>
  <c r="AA144" i="8" s="1"/>
  <c r="AB144" i="8" s="1"/>
  <c r="AC144" i="8" s="1"/>
  <c r="AD144" i="8" s="1"/>
  <c r="AE144" i="8" s="1"/>
  <c r="AF144" i="8" s="1"/>
  <c r="AG144" i="8" s="1"/>
  <c r="AH144" i="8" s="1"/>
  <c r="AI144" i="8" s="1"/>
  <c r="AJ144" i="8" s="1"/>
  <c r="AK144" i="8" s="1"/>
  <c r="D145" i="8"/>
  <c r="E145" i="8" s="1"/>
  <c r="F145" i="8" s="1"/>
  <c r="G145" i="8" s="1"/>
  <c r="H145" i="8" s="1"/>
  <c r="I145" i="8" s="1"/>
  <c r="J145" i="8" s="1"/>
  <c r="K145" i="8" s="1"/>
  <c r="L145" i="8" s="1"/>
  <c r="M145" i="8" s="1"/>
  <c r="N145" i="8" s="1"/>
  <c r="O145" i="8" s="1"/>
  <c r="P145" i="8" s="1"/>
  <c r="Q145" i="8" s="1"/>
  <c r="R145" i="8" s="1"/>
  <c r="S145" i="8" s="1"/>
  <c r="T145" i="8" s="1"/>
  <c r="U145" i="8" s="1"/>
  <c r="V145" i="8" s="1"/>
  <c r="W145" i="8" s="1"/>
  <c r="X145" i="8" s="1"/>
  <c r="Y145" i="8" s="1"/>
  <c r="Z145" i="8" s="1"/>
  <c r="AA145" i="8" s="1"/>
  <c r="AB145" i="8" s="1"/>
  <c r="AC145" i="8" s="1"/>
  <c r="AD145" i="8" s="1"/>
  <c r="AE145" i="8" s="1"/>
  <c r="AF145" i="8" s="1"/>
  <c r="AG145" i="8" s="1"/>
  <c r="AH145" i="8" s="1"/>
  <c r="AI145" i="8" s="1"/>
  <c r="AJ145" i="8" s="1"/>
  <c r="AK145" i="8" s="1"/>
  <c r="D146" i="8"/>
  <c r="E146" i="8"/>
  <c r="F146" i="8" s="1"/>
  <c r="G146" i="8" s="1"/>
  <c r="H146" i="8" s="1"/>
  <c r="I146" i="8" s="1"/>
  <c r="J146" i="8" s="1"/>
  <c r="K146" i="8" s="1"/>
  <c r="L146" i="8" s="1"/>
  <c r="M146" i="8" s="1"/>
  <c r="N146" i="8" s="1"/>
  <c r="O146" i="8" s="1"/>
  <c r="P146" i="8" s="1"/>
  <c r="Q146" i="8" s="1"/>
  <c r="R146" i="8" s="1"/>
  <c r="S146" i="8" s="1"/>
  <c r="T146" i="8" s="1"/>
  <c r="U146" i="8" s="1"/>
  <c r="V146" i="8" s="1"/>
  <c r="W146" i="8" s="1"/>
  <c r="X146" i="8" s="1"/>
  <c r="Y146" i="8" s="1"/>
  <c r="Z146" i="8" s="1"/>
  <c r="AA146" i="8" s="1"/>
  <c r="AB146" i="8" s="1"/>
  <c r="AC146" i="8" s="1"/>
  <c r="AD146" i="8" s="1"/>
  <c r="AE146" i="8" s="1"/>
  <c r="AF146" i="8" s="1"/>
  <c r="AG146" i="8" s="1"/>
  <c r="AH146" i="8" s="1"/>
  <c r="AI146" i="8" s="1"/>
  <c r="AJ146" i="8" s="1"/>
  <c r="AK146" i="8" s="1"/>
  <c r="D147" i="8"/>
  <c r="E147" i="8" s="1"/>
  <c r="F147" i="8" s="1"/>
  <c r="G147" i="8"/>
  <c r="H147" i="8" s="1"/>
  <c r="I147" i="8" s="1"/>
  <c r="J147" i="8" s="1"/>
  <c r="K147" i="8" s="1"/>
  <c r="L147" i="8" s="1"/>
  <c r="M147" i="8" s="1"/>
  <c r="N147" i="8" s="1"/>
  <c r="O147" i="8" s="1"/>
  <c r="P147" i="8" s="1"/>
  <c r="Q147" i="8" s="1"/>
  <c r="R147" i="8" s="1"/>
  <c r="S147" i="8" s="1"/>
  <c r="T147" i="8" s="1"/>
  <c r="U147" i="8" s="1"/>
  <c r="V147" i="8" s="1"/>
  <c r="W147" i="8" s="1"/>
  <c r="X147" i="8" s="1"/>
  <c r="Y147" i="8" s="1"/>
  <c r="Z147" i="8" s="1"/>
  <c r="AA147" i="8" s="1"/>
  <c r="AB147" i="8" s="1"/>
  <c r="AC147" i="8" s="1"/>
  <c r="AD147" i="8" s="1"/>
  <c r="AE147" i="8" s="1"/>
  <c r="AF147" i="8" s="1"/>
  <c r="AG147" i="8" s="1"/>
  <c r="AH147" i="8" s="1"/>
  <c r="AI147" i="8" s="1"/>
  <c r="AJ147" i="8" s="1"/>
  <c r="AK147" i="8" s="1"/>
  <c r="D148" i="8"/>
  <c r="E148" i="8"/>
  <c r="F148" i="8"/>
  <c r="G148" i="8" s="1"/>
  <c r="H148" i="8" s="1"/>
  <c r="I148" i="8" s="1"/>
  <c r="J148" i="8" s="1"/>
  <c r="K148" i="8" s="1"/>
  <c r="L148" i="8" s="1"/>
  <c r="M148" i="8" s="1"/>
  <c r="N148" i="8" s="1"/>
  <c r="O148" i="8" s="1"/>
  <c r="P148" i="8" s="1"/>
  <c r="Q148" i="8" s="1"/>
  <c r="R148" i="8" s="1"/>
  <c r="S148" i="8" s="1"/>
  <c r="T148" i="8" s="1"/>
  <c r="U148" i="8" s="1"/>
  <c r="V148" i="8" s="1"/>
  <c r="W148" i="8" s="1"/>
  <c r="X148" i="8" s="1"/>
  <c r="Y148" i="8" s="1"/>
  <c r="Z148" i="8" s="1"/>
  <c r="AA148" i="8" s="1"/>
  <c r="AB148" i="8" s="1"/>
  <c r="AC148" i="8" s="1"/>
  <c r="AD148" i="8" s="1"/>
  <c r="AE148" i="8" s="1"/>
  <c r="AF148" i="8" s="1"/>
  <c r="AG148" i="8" s="1"/>
  <c r="AH148" i="8" s="1"/>
  <c r="AI148" i="8" s="1"/>
  <c r="AJ148" i="8" s="1"/>
  <c r="AK148" i="8" s="1"/>
  <c r="D149" i="8"/>
  <c r="E149" i="8" s="1"/>
  <c r="F149" i="8" s="1"/>
  <c r="G149" i="8" s="1"/>
  <c r="H149" i="8" s="1"/>
  <c r="I149" i="8" s="1"/>
  <c r="J149" i="8" s="1"/>
  <c r="K149" i="8" s="1"/>
  <c r="L149" i="8" s="1"/>
  <c r="M149" i="8" s="1"/>
  <c r="N149" i="8" s="1"/>
  <c r="O149" i="8" s="1"/>
  <c r="P149" i="8" s="1"/>
  <c r="Q149" i="8" s="1"/>
  <c r="R149" i="8" s="1"/>
  <c r="S149" i="8" s="1"/>
  <c r="T149" i="8" s="1"/>
  <c r="U149" i="8" s="1"/>
  <c r="V149" i="8" s="1"/>
  <c r="W149" i="8" s="1"/>
  <c r="X149" i="8" s="1"/>
  <c r="Y149" i="8" s="1"/>
  <c r="Z149" i="8" s="1"/>
  <c r="AA149" i="8" s="1"/>
  <c r="AB149" i="8" s="1"/>
  <c r="AC149" i="8" s="1"/>
  <c r="AD149" i="8" s="1"/>
  <c r="AE149" i="8" s="1"/>
  <c r="AF149" i="8" s="1"/>
  <c r="AG149" i="8" s="1"/>
  <c r="AH149" i="8" s="1"/>
  <c r="AI149" i="8" s="1"/>
  <c r="AJ149" i="8" s="1"/>
  <c r="AK149" i="8" s="1"/>
  <c r="D150" i="8"/>
  <c r="E150" i="8"/>
  <c r="F150" i="8" s="1"/>
  <c r="G150" i="8" s="1"/>
  <c r="H150" i="8" s="1"/>
  <c r="I150" i="8" s="1"/>
  <c r="J150" i="8" s="1"/>
  <c r="K150" i="8" s="1"/>
  <c r="L150" i="8" s="1"/>
  <c r="M150" i="8" s="1"/>
  <c r="N150" i="8" s="1"/>
  <c r="O150" i="8" s="1"/>
  <c r="P150" i="8" s="1"/>
  <c r="Q150" i="8" s="1"/>
  <c r="R150" i="8" s="1"/>
  <c r="S150" i="8" s="1"/>
  <c r="T150" i="8" s="1"/>
  <c r="U150" i="8" s="1"/>
  <c r="V150" i="8" s="1"/>
  <c r="W150" i="8" s="1"/>
  <c r="X150" i="8" s="1"/>
  <c r="Y150" i="8" s="1"/>
  <c r="Z150" i="8" s="1"/>
  <c r="AA150" i="8" s="1"/>
  <c r="AB150" i="8" s="1"/>
  <c r="AC150" i="8" s="1"/>
  <c r="AD150" i="8" s="1"/>
  <c r="AE150" i="8" s="1"/>
  <c r="AF150" i="8" s="1"/>
  <c r="AG150" i="8" s="1"/>
  <c r="AH150" i="8" s="1"/>
  <c r="AI150" i="8" s="1"/>
  <c r="AJ150" i="8" s="1"/>
  <c r="AK150" i="8" s="1"/>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D79" i="8"/>
  <c r="E79" i="8"/>
  <c r="F79" i="8" s="1"/>
  <c r="G79" i="8" s="1"/>
  <c r="H79" i="8" s="1"/>
  <c r="I79" i="8" s="1"/>
  <c r="J79" i="8" s="1"/>
  <c r="K79" i="8" s="1"/>
  <c r="L79" i="8" s="1"/>
  <c r="M79" i="8" s="1"/>
  <c r="N79" i="8" s="1"/>
  <c r="O79" i="8" s="1"/>
  <c r="P79" i="8" s="1"/>
  <c r="Q79" i="8"/>
  <c r="R79" i="8" s="1"/>
  <c r="S79" i="8" s="1"/>
  <c r="T79" i="8" s="1"/>
  <c r="U79" i="8"/>
  <c r="V79" i="8" s="1"/>
  <c r="W79" i="8" s="1"/>
  <c r="X79" i="8" s="1"/>
  <c r="Y79" i="8" s="1"/>
  <c r="Z79" i="8" s="1"/>
  <c r="AA79" i="8" s="1"/>
  <c r="AB79" i="8" s="1"/>
  <c r="AC79" i="8" s="1"/>
  <c r="AD79" i="8" s="1"/>
  <c r="AE79" i="8" s="1"/>
  <c r="AF79" i="8" s="1"/>
  <c r="AG79" i="8" s="1"/>
  <c r="AH79" i="8" s="1"/>
  <c r="AI79" i="8" s="1"/>
  <c r="AJ79" i="8" s="1"/>
  <c r="AK79" i="8" s="1"/>
  <c r="D80" i="8"/>
  <c r="E80" i="8" s="1"/>
  <c r="F80" i="8" s="1"/>
  <c r="G80" i="8" s="1"/>
  <c r="H80" i="8" s="1"/>
  <c r="I80" i="8" s="1"/>
  <c r="J80" i="8" s="1"/>
  <c r="K80" i="8"/>
  <c r="L80" i="8" s="1"/>
  <c r="M80" i="8" s="1"/>
  <c r="N80" i="8" s="1"/>
  <c r="O80" i="8" s="1"/>
  <c r="P80" i="8" s="1"/>
  <c r="Q80" i="8" s="1"/>
  <c r="R80" i="8" s="1"/>
  <c r="S80" i="8" s="1"/>
  <c r="T80" i="8" s="1"/>
  <c r="U80" i="8" s="1"/>
  <c r="V80" i="8" s="1"/>
  <c r="W80" i="8" s="1"/>
  <c r="X80" i="8" s="1"/>
  <c r="Y80" i="8" s="1"/>
  <c r="Z80" i="8" s="1"/>
  <c r="AA80" i="8" s="1"/>
  <c r="AB80" i="8" s="1"/>
  <c r="AC80" i="8" s="1"/>
  <c r="AD80" i="8" s="1"/>
  <c r="AE80" i="8" s="1"/>
  <c r="AF80" i="8" s="1"/>
  <c r="AG80" i="8" s="1"/>
  <c r="AH80" i="8" s="1"/>
  <c r="AI80" i="8" s="1"/>
  <c r="AJ80" i="8" s="1"/>
  <c r="AK80" i="8" s="1"/>
  <c r="D81" i="8"/>
  <c r="E81" i="8" s="1"/>
  <c r="F81" i="8"/>
  <c r="G81" i="8" s="1"/>
  <c r="H81" i="8"/>
  <c r="I81" i="8" s="1"/>
  <c r="J81" i="8" s="1"/>
  <c r="K81" i="8" s="1"/>
  <c r="L81" i="8" s="1"/>
  <c r="M81" i="8" s="1"/>
  <c r="N81" i="8" s="1"/>
  <c r="O81" i="8" s="1"/>
  <c r="P81" i="8" s="1"/>
  <c r="Q81" i="8" s="1"/>
  <c r="R81" i="8" s="1"/>
  <c r="S81" i="8" s="1"/>
  <c r="T81" i="8" s="1"/>
  <c r="U81" i="8" s="1"/>
  <c r="V81" i="8" s="1"/>
  <c r="W81" i="8" s="1"/>
  <c r="X81" i="8" s="1"/>
  <c r="Y81" i="8" s="1"/>
  <c r="Z81" i="8" s="1"/>
  <c r="AA81" i="8" s="1"/>
  <c r="AB81" i="8" s="1"/>
  <c r="AC81" i="8" s="1"/>
  <c r="AD81" i="8" s="1"/>
  <c r="AE81" i="8" s="1"/>
  <c r="AF81" i="8" s="1"/>
  <c r="AG81" i="8" s="1"/>
  <c r="AH81" i="8" s="1"/>
  <c r="AI81" i="8" s="1"/>
  <c r="AJ81" i="8" s="1"/>
  <c r="AK81" i="8" s="1"/>
  <c r="D82" i="8"/>
  <c r="D83" i="8"/>
  <c r="D84" i="8"/>
  <c r="E84" i="8"/>
  <c r="F84" i="8"/>
  <c r="G84" i="8" s="1"/>
  <c r="H84" i="8" s="1"/>
  <c r="I84" i="8"/>
  <c r="J84" i="8" s="1"/>
  <c r="K84" i="8" s="1"/>
  <c r="L84" i="8" s="1"/>
  <c r="M84" i="8" s="1"/>
  <c r="N84" i="8" s="1"/>
  <c r="O84" i="8" s="1"/>
  <c r="P84" i="8" s="1"/>
  <c r="Q84" i="8" s="1"/>
  <c r="R84" i="8" s="1"/>
  <c r="S84" i="8" s="1"/>
  <c r="T84" i="8" s="1"/>
  <c r="U84" i="8" s="1"/>
  <c r="V84" i="8" s="1"/>
  <c r="W84" i="8" s="1"/>
  <c r="X84" i="8" s="1"/>
  <c r="Y84" i="8" s="1"/>
  <c r="Z84" i="8" s="1"/>
  <c r="AA84" i="8" s="1"/>
  <c r="AB84" i="8" s="1"/>
  <c r="AC84" i="8" s="1"/>
  <c r="AD84" i="8" s="1"/>
  <c r="AE84" i="8" s="1"/>
  <c r="AF84" i="8" s="1"/>
  <c r="AG84" i="8" s="1"/>
  <c r="AH84" i="8" s="1"/>
  <c r="AI84" i="8" s="1"/>
  <c r="AJ84" i="8" s="1"/>
  <c r="AK84" i="8" s="1"/>
  <c r="D85" i="8"/>
  <c r="E85" i="8" s="1"/>
  <c r="F85" i="8" s="1"/>
  <c r="G85" i="8"/>
  <c r="H85" i="8" s="1"/>
  <c r="I85" i="8" s="1"/>
  <c r="J85" i="8" s="1"/>
  <c r="K85" i="8" s="1"/>
  <c r="L85" i="8" s="1"/>
  <c r="M85" i="8" s="1"/>
  <c r="N85" i="8" s="1"/>
  <c r="O85" i="8" s="1"/>
  <c r="P85" i="8" s="1"/>
  <c r="Q85" i="8" s="1"/>
  <c r="R85" i="8" s="1"/>
  <c r="S85" i="8" s="1"/>
  <c r="T85" i="8" s="1"/>
  <c r="U85" i="8" s="1"/>
  <c r="V85" i="8" s="1"/>
  <c r="W85" i="8" s="1"/>
  <c r="X85" i="8" s="1"/>
  <c r="Y85" i="8" s="1"/>
  <c r="Z85" i="8" s="1"/>
  <c r="AA85" i="8" s="1"/>
  <c r="AB85" i="8" s="1"/>
  <c r="AC85" i="8" s="1"/>
  <c r="AD85" i="8" s="1"/>
  <c r="AE85" i="8" s="1"/>
  <c r="AF85" i="8" s="1"/>
  <c r="AG85" i="8" s="1"/>
  <c r="AH85" i="8" s="1"/>
  <c r="AI85" i="8" s="1"/>
  <c r="AJ85" i="8" s="1"/>
  <c r="AK85" i="8" s="1"/>
  <c r="D86" i="8"/>
  <c r="E86" i="8"/>
  <c r="F86" i="8"/>
  <c r="G86" i="8" s="1"/>
  <c r="H86" i="8" s="1"/>
  <c r="I86" i="8"/>
  <c r="J86" i="8"/>
  <c r="K86" i="8" s="1"/>
  <c r="L86" i="8" s="1"/>
  <c r="M86" i="8" s="1"/>
  <c r="N86" i="8" s="1"/>
  <c r="O86" i="8" s="1"/>
  <c r="P86" i="8" s="1"/>
  <c r="Q86" i="8" s="1"/>
  <c r="R86" i="8" s="1"/>
  <c r="S86" i="8" s="1"/>
  <c r="T86" i="8" s="1"/>
  <c r="U86" i="8" s="1"/>
  <c r="V86" i="8" s="1"/>
  <c r="W86" i="8" s="1"/>
  <c r="X86" i="8" s="1"/>
  <c r="Y86" i="8" s="1"/>
  <c r="Z86" i="8" s="1"/>
  <c r="AA86" i="8" s="1"/>
  <c r="AB86" i="8" s="1"/>
  <c r="AC86" i="8" s="1"/>
  <c r="AD86" i="8" s="1"/>
  <c r="AE86" i="8" s="1"/>
  <c r="AF86" i="8" s="1"/>
  <c r="AG86" i="8" s="1"/>
  <c r="AH86" i="8" s="1"/>
  <c r="AI86" i="8" s="1"/>
  <c r="AJ86" i="8" s="1"/>
  <c r="AK86" i="8" s="1"/>
  <c r="D87" i="8"/>
  <c r="E87" i="8" s="1"/>
  <c r="F87" i="8" s="1"/>
  <c r="G87" i="8"/>
  <c r="H87" i="8"/>
  <c r="I87" i="8" s="1"/>
  <c r="J87" i="8" s="1"/>
  <c r="K87" i="8" s="1"/>
  <c r="L87" i="8" s="1"/>
  <c r="M87" i="8" s="1"/>
  <c r="N87" i="8" s="1"/>
  <c r="O87" i="8" s="1"/>
  <c r="P87" i="8" s="1"/>
  <c r="Q87" i="8" s="1"/>
  <c r="R87" i="8" s="1"/>
  <c r="S87" i="8" s="1"/>
  <c r="T87" i="8" s="1"/>
  <c r="U87" i="8" s="1"/>
  <c r="V87" i="8" s="1"/>
  <c r="W87" i="8" s="1"/>
  <c r="X87" i="8" s="1"/>
  <c r="Y87" i="8" s="1"/>
  <c r="Z87" i="8" s="1"/>
  <c r="AA87" i="8" s="1"/>
  <c r="AB87" i="8" s="1"/>
  <c r="AC87" i="8" s="1"/>
  <c r="AD87" i="8" s="1"/>
  <c r="AE87" i="8" s="1"/>
  <c r="AF87" i="8" s="1"/>
  <c r="AG87" i="8" s="1"/>
  <c r="AH87" i="8" s="1"/>
  <c r="AI87" i="8" s="1"/>
  <c r="AJ87" i="8" s="1"/>
  <c r="AK87" i="8" s="1"/>
  <c r="D88" i="8"/>
  <c r="E88" i="8"/>
  <c r="F88" i="8" s="1"/>
  <c r="G88" i="8" s="1"/>
  <c r="H88" i="8" s="1"/>
  <c r="I88" i="8" s="1"/>
  <c r="J88" i="8" s="1"/>
  <c r="K88" i="8" s="1"/>
  <c r="L88" i="8" s="1"/>
  <c r="M88" i="8" s="1"/>
  <c r="N88" i="8" s="1"/>
  <c r="O88" i="8" s="1"/>
  <c r="P88" i="8" s="1"/>
  <c r="Q88" i="8" s="1"/>
  <c r="R88" i="8" s="1"/>
  <c r="S88" i="8" s="1"/>
  <c r="T88" i="8" s="1"/>
  <c r="U88" i="8" s="1"/>
  <c r="V88" i="8" s="1"/>
  <c r="W88" i="8" s="1"/>
  <c r="X88" i="8" s="1"/>
  <c r="Y88" i="8" s="1"/>
  <c r="Z88" i="8" s="1"/>
  <c r="AA88" i="8" s="1"/>
  <c r="AB88" i="8" s="1"/>
  <c r="AC88" i="8" s="1"/>
  <c r="AD88" i="8" s="1"/>
  <c r="AE88" i="8" s="1"/>
  <c r="AF88" i="8" s="1"/>
  <c r="AG88" i="8" s="1"/>
  <c r="AH88" i="8" s="1"/>
  <c r="AI88" i="8" s="1"/>
  <c r="AJ88" i="8" s="1"/>
  <c r="AK88" i="8" s="1"/>
  <c r="D89" i="8"/>
  <c r="E89" i="8" s="1"/>
  <c r="F89" i="8" s="1"/>
  <c r="G89" i="8"/>
  <c r="H89" i="8"/>
  <c r="I89" i="8" s="1"/>
  <c r="J89" i="8" s="1"/>
  <c r="K89" i="8"/>
  <c r="L89" i="8" s="1"/>
  <c r="M89" i="8" s="1"/>
  <c r="N89" i="8" s="1"/>
  <c r="O89" i="8" s="1"/>
  <c r="P89" i="8" s="1"/>
  <c r="Q89" i="8" s="1"/>
  <c r="R89" i="8" s="1"/>
  <c r="S89" i="8" s="1"/>
  <c r="T89" i="8" s="1"/>
  <c r="U89" i="8" s="1"/>
  <c r="V89" i="8" s="1"/>
  <c r="W89" i="8" s="1"/>
  <c r="X89" i="8" s="1"/>
  <c r="Y89" i="8" s="1"/>
  <c r="Z89" i="8" s="1"/>
  <c r="AA89" i="8" s="1"/>
  <c r="AB89" i="8" s="1"/>
  <c r="AC89" i="8" s="1"/>
  <c r="AD89" i="8" s="1"/>
  <c r="AE89" i="8" s="1"/>
  <c r="AF89" i="8" s="1"/>
  <c r="AG89" i="8" s="1"/>
  <c r="AH89" i="8" s="1"/>
  <c r="AI89" i="8" s="1"/>
  <c r="AJ89" i="8" s="1"/>
  <c r="AK89" i="8" s="1"/>
  <c r="D90" i="8"/>
  <c r="E90" i="8"/>
  <c r="F90" i="8"/>
  <c r="G90" i="8" s="1"/>
  <c r="H90" i="8" s="1"/>
  <c r="I90" i="8" s="1"/>
  <c r="J90" i="8" s="1"/>
  <c r="K90" i="8" s="1"/>
  <c r="L90" i="8" s="1"/>
  <c r="M90" i="8" s="1"/>
  <c r="N90" i="8" s="1"/>
  <c r="O90" i="8" s="1"/>
  <c r="P90" i="8" s="1"/>
  <c r="Q90" i="8"/>
  <c r="R90" i="8" s="1"/>
  <c r="S90" i="8" s="1"/>
  <c r="T90" i="8" s="1"/>
  <c r="U90" i="8" s="1"/>
  <c r="V90" i="8" s="1"/>
  <c r="W90" i="8" s="1"/>
  <c r="X90" i="8" s="1"/>
  <c r="Y90" i="8" s="1"/>
  <c r="Z90" i="8" s="1"/>
  <c r="AA90" i="8"/>
  <c r="AB90" i="8" s="1"/>
  <c r="AC90" i="8" s="1"/>
  <c r="AD90" i="8" s="1"/>
  <c r="AE90" i="8" s="1"/>
  <c r="AF90" i="8" s="1"/>
  <c r="AG90" i="8" s="1"/>
  <c r="AH90" i="8" s="1"/>
  <c r="AI90" i="8" s="1"/>
  <c r="AJ90" i="8" s="1"/>
  <c r="AK90" i="8" s="1"/>
  <c r="D91" i="8"/>
  <c r="E91" i="8" s="1"/>
  <c r="F91" i="8" s="1"/>
  <c r="G91" i="8" s="1"/>
  <c r="H91" i="8" s="1"/>
  <c r="I91" i="8"/>
  <c r="J91" i="8" s="1"/>
  <c r="K91" i="8" s="1"/>
  <c r="L91" i="8" s="1"/>
  <c r="M91" i="8" s="1"/>
  <c r="N91" i="8" s="1"/>
  <c r="O91" i="8"/>
  <c r="P91" i="8" s="1"/>
  <c r="Q91" i="8" s="1"/>
  <c r="R91" i="8" s="1"/>
  <c r="S91" i="8" s="1"/>
  <c r="T91" i="8" s="1"/>
  <c r="U91" i="8" s="1"/>
  <c r="V91" i="8" s="1"/>
  <c r="W91" i="8" s="1"/>
  <c r="X91" i="8" s="1"/>
  <c r="Y91" i="8" s="1"/>
  <c r="Z91" i="8" s="1"/>
  <c r="AA91" i="8" s="1"/>
  <c r="AB91" i="8" s="1"/>
  <c r="AC91" i="8" s="1"/>
  <c r="AD91" i="8" s="1"/>
  <c r="AE91" i="8" s="1"/>
  <c r="AF91" i="8" s="1"/>
  <c r="AG91" i="8" s="1"/>
  <c r="AH91" i="8" s="1"/>
  <c r="AI91" i="8" s="1"/>
  <c r="AJ91" i="8" s="1"/>
  <c r="AK91" i="8" s="1"/>
  <c r="D92" i="8"/>
  <c r="D78" i="8" s="1"/>
  <c r="E92" i="8"/>
  <c r="E78" i="8" s="1"/>
  <c r="F92" i="8"/>
  <c r="D93" i="8"/>
  <c r="E93" i="8" s="1"/>
  <c r="F93" i="8" s="1"/>
  <c r="G93" i="8" s="1"/>
  <c r="H93" i="8"/>
  <c r="I93" i="8" s="1"/>
  <c r="J93" i="8" s="1"/>
  <c r="K93" i="8" s="1"/>
  <c r="L93" i="8" s="1"/>
  <c r="M93" i="8" s="1"/>
  <c r="N93" i="8" s="1"/>
  <c r="O93" i="8" s="1"/>
  <c r="P93" i="8" s="1"/>
  <c r="Q93" i="8" s="1"/>
  <c r="R93" i="8" s="1"/>
  <c r="S93" i="8" s="1"/>
  <c r="T93" i="8" s="1"/>
  <c r="U93" i="8" s="1"/>
  <c r="V93" i="8" s="1"/>
  <c r="W93" i="8" s="1"/>
  <c r="X93" i="8" s="1"/>
  <c r="Y93" i="8" s="1"/>
  <c r="Z93" i="8" s="1"/>
  <c r="AA93" i="8" s="1"/>
  <c r="AB93" i="8" s="1"/>
  <c r="AC93" i="8" s="1"/>
  <c r="AD93" i="8" s="1"/>
  <c r="AE93" i="8" s="1"/>
  <c r="AF93" i="8" s="1"/>
  <c r="AG93" i="8" s="1"/>
  <c r="AH93" i="8" s="1"/>
  <c r="AI93" i="8" s="1"/>
  <c r="AJ93" i="8" s="1"/>
  <c r="AK93" i="8" s="1"/>
  <c r="D94" i="8"/>
  <c r="E94" i="8"/>
  <c r="F94" i="8"/>
  <c r="G94" i="8" s="1"/>
  <c r="H94" i="8" s="1"/>
  <c r="I94" i="8" s="1"/>
  <c r="J94" i="8"/>
  <c r="K94" i="8" s="1"/>
  <c r="L94" i="8" s="1"/>
  <c r="M94" i="8" s="1"/>
  <c r="N94" i="8"/>
  <c r="O94" i="8" s="1"/>
  <c r="P94" i="8" s="1"/>
  <c r="Q94" i="8" s="1"/>
  <c r="R94" i="8" s="1"/>
  <c r="S94" i="8" s="1"/>
  <c r="T94" i="8" s="1"/>
  <c r="U94" i="8" s="1"/>
  <c r="V94" i="8" s="1"/>
  <c r="W94" i="8" s="1"/>
  <c r="X94" i="8" s="1"/>
  <c r="Y94" i="8" s="1"/>
  <c r="Z94" i="8" s="1"/>
  <c r="AA94" i="8" s="1"/>
  <c r="AB94" i="8" s="1"/>
  <c r="AC94" i="8" s="1"/>
  <c r="AD94" i="8" s="1"/>
  <c r="AE94" i="8" s="1"/>
  <c r="AF94" i="8" s="1"/>
  <c r="AG94" i="8" s="1"/>
  <c r="AH94" i="8" s="1"/>
  <c r="AI94" i="8" s="1"/>
  <c r="AJ94" i="8" s="1"/>
  <c r="AK94" i="8" s="1"/>
  <c r="D4" i="8"/>
  <c r="E4" i="8" s="1"/>
  <c r="D5" i="8"/>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D6" i="8"/>
  <c r="E6" i="8" s="1"/>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AJ6" i="8" s="1"/>
  <c r="AK6" i="8" s="1"/>
  <c r="D13" i="8"/>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AJ13" i="8" s="1"/>
  <c r="AK13" i="8" s="1"/>
  <c r="D14" i="8"/>
  <c r="E14" i="8"/>
  <c r="F14" i="8" s="1"/>
  <c r="G14" i="8" s="1"/>
  <c r="H14" i="8" s="1"/>
  <c r="I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AH14" i="8" s="1"/>
  <c r="AI14" i="8" s="1"/>
  <c r="AJ14" i="8" s="1"/>
  <c r="AK14" i="8" s="1"/>
  <c r="D15" i="8"/>
  <c r="E15" i="8" s="1"/>
  <c r="F15" i="8" s="1"/>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D16" i="8"/>
  <c r="E16" i="8"/>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AJ16" i="8" s="1"/>
  <c r="AK16" i="8" s="1"/>
  <c r="D17" i="8"/>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AH17" i="8" s="1"/>
  <c r="AI17" i="8" s="1"/>
  <c r="AJ17" i="8" s="1"/>
  <c r="AK17" i="8" s="1"/>
  <c r="D18" i="8"/>
  <c r="E18" i="8"/>
  <c r="F18" i="8" s="1"/>
  <c r="G18" i="8" s="1"/>
  <c r="H18" i="8" s="1"/>
  <c r="I18" i="8" s="1"/>
  <c r="J18" i="8" s="1"/>
  <c r="K18" i="8" s="1"/>
  <c r="L18" i="8" s="1"/>
  <c r="M18" i="8" s="1"/>
  <c r="N18" i="8" s="1"/>
  <c r="O18" i="8" s="1"/>
  <c r="P18" i="8" s="1"/>
  <c r="Q18" i="8" s="1"/>
  <c r="R18" i="8" s="1"/>
  <c r="S18" i="8" s="1"/>
  <c r="T18" i="8" s="1"/>
  <c r="U18" i="8" s="1"/>
  <c r="V18" i="8" s="1"/>
  <c r="W18" i="8" s="1"/>
  <c r="X18" i="8" s="1"/>
  <c r="Y18" i="8" s="1"/>
  <c r="Z18" i="8" s="1"/>
  <c r="AA18" i="8" s="1"/>
  <c r="AB18" i="8" s="1"/>
  <c r="AC18" i="8" s="1"/>
  <c r="AD18" i="8" s="1"/>
  <c r="AE18" i="8" s="1"/>
  <c r="AF18" i="8" s="1"/>
  <c r="AG18" i="8" s="1"/>
  <c r="AH18" i="8" s="1"/>
  <c r="AI18" i="8" s="1"/>
  <c r="AJ18" i="8" s="1"/>
  <c r="AK18" i="8" s="1"/>
  <c r="D19" i="8"/>
  <c r="E19" i="8" s="1"/>
  <c r="F19" i="8" s="1"/>
  <c r="G19" i="8"/>
  <c r="H19" i="8" s="1"/>
  <c r="I19" i="8" s="1"/>
  <c r="J19" i="8" s="1"/>
  <c r="K19" i="8" s="1"/>
  <c r="L19" i="8" s="1"/>
  <c r="M19" i="8" s="1"/>
  <c r="N19" i="8" s="1"/>
  <c r="O19" i="8" s="1"/>
  <c r="P19" i="8" s="1"/>
  <c r="Q19" i="8" s="1"/>
  <c r="R19" i="8" s="1"/>
  <c r="S19" i="8" s="1"/>
  <c r="T19" i="8" s="1"/>
  <c r="U19" i="8" s="1"/>
  <c r="V19" i="8" s="1"/>
  <c r="W19" i="8" s="1"/>
  <c r="X19" i="8" s="1"/>
  <c r="Y19" i="8" s="1"/>
  <c r="Z19" i="8" s="1"/>
  <c r="AA19" i="8" s="1"/>
  <c r="AB19" i="8" s="1"/>
  <c r="AC19" i="8" s="1"/>
  <c r="AD19" i="8" s="1"/>
  <c r="AE19" i="8" s="1"/>
  <c r="AF19" i="8" s="1"/>
  <c r="AG19" i="8" s="1"/>
  <c r="AH19" i="8" s="1"/>
  <c r="AI19" i="8" s="1"/>
  <c r="AJ19" i="8" s="1"/>
  <c r="AK19" i="8" s="1"/>
  <c r="D20" i="8"/>
  <c r="E20" i="8"/>
  <c r="F20" i="8" s="1"/>
  <c r="G20" i="8" s="1"/>
  <c r="H20" i="8" s="1"/>
  <c r="I20" i="8"/>
  <c r="J20" i="8" s="1"/>
  <c r="K20" i="8" s="1"/>
  <c r="L20" i="8" s="1"/>
  <c r="M20" i="8" s="1"/>
  <c r="N20" i="8" s="1"/>
  <c r="O20" i="8" s="1"/>
  <c r="P20" i="8" s="1"/>
  <c r="Q20" i="8" s="1"/>
  <c r="R20" i="8" s="1"/>
  <c r="S20" i="8" s="1"/>
  <c r="T20" i="8" s="1"/>
  <c r="U20" i="8" s="1"/>
  <c r="V20" i="8" s="1"/>
  <c r="W20" i="8" s="1"/>
  <c r="X20" i="8" s="1"/>
  <c r="Y20" i="8" s="1"/>
  <c r="Z20" i="8" s="1"/>
  <c r="AA20" i="8" s="1"/>
  <c r="AB20" i="8" s="1"/>
  <c r="AC20" i="8" s="1"/>
  <c r="AD20" i="8" s="1"/>
  <c r="AE20" i="8" s="1"/>
  <c r="AF20" i="8" s="1"/>
  <c r="AG20" i="8" s="1"/>
  <c r="AH20" i="8" s="1"/>
  <c r="AI20" i="8" s="1"/>
  <c r="AJ20" i="8" s="1"/>
  <c r="AK20" i="8" s="1"/>
  <c r="D21" i="8"/>
  <c r="E21" i="8" s="1"/>
  <c r="F21" i="8" s="1"/>
  <c r="G21" i="8" s="1"/>
  <c r="H21" i="8" s="1"/>
  <c r="I21" i="8" s="1"/>
  <c r="J21" i="8" s="1"/>
  <c r="K21" i="8"/>
  <c r="L21" i="8" s="1"/>
  <c r="M21" i="8" s="1"/>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D22" i="8"/>
  <c r="E22" i="8"/>
  <c r="F22" i="8" s="1"/>
  <c r="G22" i="8" s="1"/>
  <c r="H22" i="8" s="1"/>
  <c r="I22" i="8" s="1"/>
  <c r="J22" i="8" s="1"/>
  <c r="K22" i="8" s="1"/>
  <c r="L22" i="8" s="1"/>
  <c r="M22" i="8" s="1"/>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AK22" i="8" s="1"/>
  <c r="D23" i="8"/>
  <c r="E23" i="8" s="1"/>
  <c r="F23" i="8" s="1"/>
  <c r="G23" i="8"/>
  <c r="H23" i="8" s="1"/>
  <c r="I23" i="8" s="1"/>
  <c r="J23" i="8" s="1"/>
  <c r="K23" i="8"/>
  <c r="L23" i="8" s="1"/>
  <c r="M23" i="8" s="1"/>
  <c r="N23" i="8" s="1"/>
  <c r="O23" i="8" s="1"/>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D24" i="8"/>
  <c r="D11" i="8" s="1"/>
  <c r="E24" i="8"/>
  <c r="D25" i="8"/>
  <c r="E25" i="8" s="1"/>
  <c r="F25" i="8"/>
  <c r="G25" i="8" s="1"/>
  <c r="H25" i="8" s="1"/>
  <c r="I25" i="8" s="1"/>
  <c r="J25" i="8" s="1"/>
  <c r="K25" i="8" s="1"/>
  <c r="L25" i="8" s="1"/>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D26" i="8"/>
  <c r="E26" i="8" s="1"/>
  <c r="F26" i="8" s="1"/>
  <c r="G26" i="8" s="1"/>
  <c r="H26" i="8" s="1"/>
  <c r="I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AJ26" i="8" s="1"/>
  <c r="AK26" i="8" s="1"/>
  <c r="D27" i="8"/>
  <c r="E27" i="8" s="1"/>
  <c r="F27" i="8" s="1"/>
  <c r="G27" i="8" s="1"/>
  <c r="H27" i="8" s="1"/>
  <c r="I27" i="8" s="1"/>
  <c r="J27" i="8" s="1"/>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AJ27" i="8" s="1"/>
  <c r="AK27" i="8" s="1"/>
  <c r="D28" i="8"/>
  <c r="E28" i="8" s="1"/>
  <c r="F28" i="8"/>
  <c r="G28" i="8" s="1"/>
  <c r="H28" i="8"/>
  <c r="I28" i="8" s="1"/>
  <c r="J28" i="8" s="1"/>
  <c r="K28" i="8" s="1"/>
  <c r="L28" i="8" s="1"/>
  <c r="M28" i="8" s="1"/>
  <c r="N28" i="8" s="1"/>
  <c r="O28" i="8" s="1"/>
  <c r="P28" i="8" s="1"/>
  <c r="Q28" i="8" s="1"/>
  <c r="R28" i="8" s="1"/>
  <c r="S28" i="8" s="1"/>
  <c r="T28" i="8" s="1"/>
  <c r="U28" i="8" s="1"/>
  <c r="V28" i="8" s="1"/>
  <c r="W28" i="8" s="1"/>
  <c r="X28" i="8" s="1"/>
  <c r="Y28" i="8" s="1"/>
  <c r="Z28" i="8" s="1"/>
  <c r="AA28" i="8" s="1"/>
  <c r="AB28" i="8" s="1"/>
  <c r="AC28" i="8" s="1"/>
  <c r="AD28" i="8" s="1"/>
  <c r="AE28" i="8" s="1"/>
  <c r="AF28" i="8" s="1"/>
  <c r="AG28" i="8" s="1"/>
  <c r="AH28" i="8" s="1"/>
  <c r="AI28" i="8" s="1"/>
  <c r="AJ28" i="8" s="1"/>
  <c r="AK28" i="8" s="1"/>
  <c r="D29" i="8"/>
  <c r="E29" i="8" s="1"/>
  <c r="F29" i="8"/>
  <c r="G29" i="8" s="1"/>
  <c r="H29" i="8" s="1"/>
  <c r="I29" i="8" s="1"/>
  <c r="J29" i="8" s="1"/>
  <c r="K29" i="8" s="1"/>
  <c r="L29" i="8" s="1"/>
  <c r="M29" i="8" s="1"/>
  <c r="N29" i="8" s="1"/>
  <c r="O29" i="8" s="1"/>
  <c r="P29" i="8" s="1"/>
  <c r="Q29" i="8" s="1"/>
  <c r="R29" i="8" s="1"/>
  <c r="S29" i="8" s="1"/>
  <c r="T29" i="8" s="1"/>
  <c r="U29" i="8" s="1"/>
  <c r="V29" i="8" s="1"/>
  <c r="W29" i="8" s="1"/>
  <c r="X29" i="8" s="1"/>
  <c r="Y29" i="8" s="1"/>
  <c r="Z29" i="8" s="1"/>
  <c r="AA29" i="8" s="1"/>
  <c r="AB29" i="8" s="1"/>
  <c r="AC29" i="8" s="1"/>
  <c r="AD29" i="8" s="1"/>
  <c r="AE29" i="8" s="1"/>
  <c r="AF29" i="8" s="1"/>
  <c r="AG29" i="8" s="1"/>
  <c r="AH29" i="8" s="1"/>
  <c r="AI29" i="8" s="1"/>
  <c r="AJ29" i="8" s="1"/>
  <c r="AK29" i="8" s="1"/>
  <c r="D30" i="8"/>
  <c r="D31" i="8"/>
  <c r="E31" i="8" s="1"/>
  <c r="F31" i="8" s="1"/>
  <c r="G31" i="8" s="1"/>
  <c r="H31" i="8" s="1"/>
  <c r="I31" i="8" s="1"/>
  <c r="J31" i="8" s="1"/>
  <c r="K31" i="8" s="1"/>
  <c r="L31" i="8" s="1"/>
  <c r="M31" i="8" s="1"/>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AJ31" i="8" s="1"/>
  <c r="AK31" i="8" s="1"/>
  <c r="D32" i="8"/>
  <c r="E32" i="8" s="1"/>
  <c r="F32" i="8" s="1"/>
  <c r="G32" i="8" s="1"/>
  <c r="H32" i="8" s="1"/>
  <c r="I32" i="8" s="1"/>
  <c r="J32" i="8" s="1"/>
  <c r="K32" i="8" s="1"/>
  <c r="L32" i="8" s="1"/>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AJ32" i="8" s="1"/>
  <c r="AK32" i="8" s="1"/>
  <c r="D33" i="8"/>
  <c r="E33" i="8"/>
  <c r="F33" i="8"/>
  <c r="G33" i="8" s="1"/>
  <c r="H33" i="8" s="1"/>
  <c r="I33" i="8" s="1"/>
  <c r="J33" i="8" s="1"/>
  <c r="K33" i="8" s="1"/>
  <c r="L33" i="8" s="1"/>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D34" i="8"/>
  <c r="E34" i="8" s="1"/>
  <c r="F34" i="8" s="1"/>
  <c r="G34" i="8" s="1"/>
  <c r="H34" i="8" s="1"/>
  <c r="I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AJ34" i="8" s="1"/>
  <c r="AK34" i="8" s="1"/>
  <c r="D35" i="8"/>
  <c r="E35" i="8"/>
  <c r="F35" i="8"/>
  <c r="G35" i="8" s="1"/>
  <c r="H35" i="8" s="1"/>
  <c r="I35" i="8" s="1"/>
  <c r="J35" i="8"/>
  <c r="K35" i="8" s="1"/>
  <c r="L35" i="8" s="1"/>
  <c r="M35" i="8" s="1"/>
  <c r="N35" i="8" s="1"/>
  <c r="O35" i="8" s="1"/>
  <c r="P35" i="8" s="1"/>
  <c r="Q35" i="8" s="1"/>
  <c r="R35" i="8" s="1"/>
  <c r="S35" i="8" s="1"/>
  <c r="T35" i="8" s="1"/>
  <c r="U35" i="8" s="1"/>
  <c r="V35" i="8" s="1"/>
  <c r="W35" i="8" s="1"/>
  <c r="X35" i="8" s="1"/>
  <c r="Y35" i="8" s="1"/>
  <c r="Z35" i="8"/>
  <c r="AA35" i="8" s="1"/>
  <c r="AB35" i="8" s="1"/>
  <c r="AC35" i="8" s="1"/>
  <c r="AD35" i="8" s="1"/>
  <c r="AE35" i="8" s="1"/>
  <c r="AF35" i="8" s="1"/>
  <c r="AG35" i="8" s="1"/>
  <c r="AH35" i="8" s="1"/>
  <c r="AI35" i="8" s="1"/>
  <c r="AJ35" i="8" s="1"/>
  <c r="AK35" i="8" s="1"/>
  <c r="D36" i="8"/>
  <c r="E36" i="8" s="1"/>
  <c r="F36" i="8" s="1"/>
  <c r="G36" i="8" s="1"/>
  <c r="H36" i="8"/>
  <c r="I36" i="8" s="1"/>
  <c r="J36" i="8" s="1"/>
  <c r="K36" i="8" s="1"/>
  <c r="L36" i="8" s="1"/>
  <c r="M36" i="8" s="1"/>
  <c r="N36" i="8" s="1"/>
  <c r="O36" i="8" s="1"/>
  <c r="P36" i="8" s="1"/>
  <c r="Q36" i="8" s="1"/>
  <c r="R36" i="8" s="1"/>
  <c r="S36" i="8" s="1"/>
  <c r="T36" i="8" s="1"/>
  <c r="U36" i="8" s="1"/>
  <c r="V36" i="8" s="1"/>
  <c r="W36" i="8" s="1"/>
  <c r="X36" i="8"/>
  <c r="Y36" i="8" s="1"/>
  <c r="Z36" i="8" s="1"/>
  <c r="AA36" i="8" s="1"/>
  <c r="AB36" i="8" s="1"/>
  <c r="AC36" i="8" s="1"/>
  <c r="AD36" i="8" s="1"/>
  <c r="AE36" i="8" s="1"/>
  <c r="AF36" i="8" s="1"/>
  <c r="AG36" i="8" s="1"/>
  <c r="AH36" i="8" s="1"/>
  <c r="AI36" i="8" s="1"/>
  <c r="AJ36" i="8" s="1"/>
  <c r="AK36" i="8" s="1"/>
  <c r="D37" i="8"/>
  <c r="E37" i="8"/>
  <c r="F37" i="8"/>
  <c r="G37" i="8" s="1"/>
  <c r="H37" i="8" s="1"/>
  <c r="I37" i="8" s="1"/>
  <c r="J37" i="8"/>
  <c r="K37" i="8" s="1"/>
  <c r="L37" i="8" s="1"/>
  <c r="M37" i="8" s="1"/>
  <c r="N37" i="8"/>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D38" i="8"/>
  <c r="E38" i="8" s="1"/>
  <c r="F38" i="8" s="1"/>
  <c r="G38" i="8" s="1"/>
  <c r="H38" i="8"/>
  <c r="I38" i="8" s="1"/>
  <c r="J38" i="8" s="1"/>
  <c r="K38" i="8"/>
  <c r="L38" i="8" s="1"/>
  <c r="M38" i="8" s="1"/>
  <c r="N38" i="8" s="1"/>
  <c r="O38" i="8" s="1"/>
  <c r="P38" i="8" s="1"/>
  <c r="Q38" i="8" s="1"/>
  <c r="R38" i="8" s="1"/>
  <c r="S38" i="8" s="1"/>
  <c r="T38" i="8" s="1"/>
  <c r="U38" i="8" s="1"/>
  <c r="V38" i="8" s="1"/>
  <c r="W38" i="8" s="1"/>
  <c r="X38" i="8" s="1"/>
  <c r="Y38" i="8" s="1"/>
  <c r="Z38" i="8" s="1"/>
  <c r="AA38" i="8" s="1"/>
  <c r="AB38" i="8" s="1"/>
  <c r="AC38" i="8" s="1"/>
  <c r="AD38" i="8" s="1"/>
  <c r="AE38" i="8" s="1"/>
  <c r="AF38" i="8" s="1"/>
  <c r="AG38" i="8" s="1"/>
  <c r="AH38" i="8" s="1"/>
  <c r="AI38" i="8" s="1"/>
  <c r="AJ38" i="8" s="1"/>
  <c r="AK38" i="8" s="1"/>
  <c r="D39" i="8"/>
  <c r="D9" i="8" s="1"/>
  <c r="E39" i="8"/>
  <c r="E9" i="8" s="1"/>
  <c r="F39" i="8"/>
  <c r="D40" i="8"/>
  <c r="E40" i="8" s="1"/>
  <c r="F40" i="8" s="1"/>
  <c r="G40" i="8"/>
  <c r="H40" i="8" s="1"/>
  <c r="I40" i="8" s="1"/>
  <c r="J40" i="8" s="1"/>
  <c r="K40" i="8" s="1"/>
  <c r="L40" i="8"/>
  <c r="M40" i="8" s="1"/>
  <c r="N40" i="8" s="1"/>
  <c r="O40" i="8"/>
  <c r="P40" i="8" s="1"/>
  <c r="Q40" i="8" s="1"/>
  <c r="R40" i="8" s="1"/>
  <c r="S40" i="8" s="1"/>
  <c r="T40" i="8" s="1"/>
  <c r="U40" i="8" s="1"/>
  <c r="V40" i="8" s="1"/>
  <c r="W40" i="8" s="1"/>
  <c r="X40" i="8" s="1"/>
  <c r="Y40" i="8" s="1"/>
  <c r="Z40" i="8" s="1"/>
  <c r="AA40" i="8" s="1"/>
  <c r="AB40" i="8" s="1"/>
  <c r="AC40" i="8" s="1"/>
  <c r="AD40" i="8" s="1"/>
  <c r="AE40" i="8" s="1"/>
  <c r="AF40" i="8" s="1"/>
  <c r="AG40" i="8" s="1"/>
  <c r="AH40" i="8" s="1"/>
  <c r="AI40" i="8" s="1"/>
  <c r="AJ40" i="8" s="1"/>
  <c r="AK40" i="8" s="1"/>
  <c r="D41" i="8"/>
  <c r="E41" i="8"/>
  <c r="F41" i="8"/>
  <c r="G41" i="8" s="1"/>
  <c r="H41" i="8" s="1"/>
  <c r="I41" i="8"/>
  <c r="J41" i="8"/>
  <c r="K41" i="8" s="1"/>
  <c r="L41" i="8" s="1"/>
  <c r="M41" i="8" s="1"/>
  <c r="N41" i="8" s="1"/>
  <c r="O41" i="8" s="1"/>
  <c r="P41" i="8" s="1"/>
  <c r="Q41" i="8"/>
  <c r="R41" i="8"/>
  <c r="S41" i="8" s="1"/>
  <c r="T41" i="8" s="1"/>
  <c r="U41" i="8" s="1"/>
  <c r="V41" i="8" s="1"/>
  <c r="W41" i="8" s="1"/>
  <c r="X41" i="8" s="1"/>
  <c r="Y41" i="8" s="1"/>
  <c r="Z41" i="8" s="1"/>
  <c r="AA41" i="8" s="1"/>
  <c r="AB41" i="8" s="1"/>
  <c r="AC41" i="8" s="1"/>
  <c r="AD41" i="8" s="1"/>
  <c r="AE41" i="8" s="1"/>
  <c r="AF41" i="8" s="1"/>
  <c r="AG41" i="8" s="1"/>
  <c r="AH41" i="8" s="1"/>
  <c r="AI41" i="8" s="1"/>
  <c r="AJ41" i="8" s="1"/>
  <c r="AK41" i="8" s="1"/>
  <c r="D42" i="8"/>
  <c r="E42" i="8" s="1"/>
  <c r="F42" i="8"/>
  <c r="G42" i="8"/>
  <c r="H42" i="8" s="1"/>
  <c r="I42" i="8" s="1"/>
  <c r="J42" i="8" s="1"/>
  <c r="K42" i="8"/>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D43" i="8"/>
  <c r="E43" i="8"/>
  <c r="F43" i="8" s="1"/>
  <c r="G43" i="8" s="1"/>
  <c r="H43" i="8" s="1"/>
  <c r="I43" i="8"/>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D44" i="8"/>
  <c r="E44" i="8" s="1"/>
  <c r="F44" i="8"/>
  <c r="G44" i="8"/>
  <c r="H44" i="8"/>
  <c r="I44" i="8" s="1"/>
  <c r="J44" i="8" s="1"/>
  <c r="K44" i="8" s="1"/>
  <c r="L44" i="8"/>
  <c r="M44" i="8" s="1"/>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D45" i="8"/>
  <c r="E45" i="8"/>
  <c r="F45" i="8"/>
  <c r="G45" i="8" s="1"/>
  <c r="H45" i="8" s="1"/>
  <c r="I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AJ45" i="8" s="1"/>
  <c r="AK45" i="8" s="1"/>
  <c r="D46" i="8"/>
  <c r="E46" i="8" s="1"/>
  <c r="F46" i="8" s="1"/>
  <c r="G46" i="8" s="1"/>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AJ46" i="8" s="1"/>
  <c r="AK46" i="8" s="1"/>
  <c r="D47" i="8"/>
  <c r="E47" i="8"/>
  <c r="F47" i="8"/>
  <c r="D48" i="8"/>
  <c r="E48" i="8" s="1"/>
  <c r="F48" i="8" s="1"/>
  <c r="G48" i="8" s="1"/>
  <c r="H48" i="8" s="1"/>
  <c r="I48" i="8" s="1"/>
  <c r="J48" i="8" s="1"/>
  <c r="K48" i="8" s="1"/>
  <c r="L48" i="8" s="1"/>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AJ48" i="8" s="1"/>
  <c r="AK48" i="8" s="1"/>
  <c r="D49" i="8"/>
  <c r="E49" i="8"/>
  <c r="F49" i="8"/>
  <c r="G49" i="8" s="1"/>
  <c r="H49" i="8" s="1"/>
  <c r="I49" i="8" s="1"/>
  <c r="J49" i="8" s="1"/>
  <c r="K49" i="8" s="1"/>
  <c r="L49" i="8" s="1"/>
  <c r="M49" i="8" s="1"/>
  <c r="N49" i="8"/>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AJ49" i="8" s="1"/>
  <c r="AK49" i="8" s="1"/>
  <c r="D50" i="8"/>
  <c r="E50" i="8" s="1"/>
  <c r="F50" i="8" s="1"/>
  <c r="G50" i="8" s="1"/>
  <c r="H50" i="8" s="1"/>
  <c r="I50" i="8" s="1"/>
  <c r="J50" i="8" s="1"/>
  <c r="K50" i="8" s="1"/>
  <c r="L50" i="8"/>
  <c r="M50" i="8" s="1"/>
  <c r="N50" i="8" s="1"/>
  <c r="O50" i="8" s="1"/>
  <c r="P50" i="8" s="1"/>
  <c r="Q50" i="8" s="1"/>
  <c r="R50" i="8" s="1"/>
  <c r="S50" i="8" s="1"/>
  <c r="T50" i="8" s="1"/>
  <c r="U50" i="8" s="1"/>
  <c r="V50" i="8" s="1"/>
  <c r="W50" i="8" s="1"/>
  <c r="X50" i="8" s="1"/>
  <c r="Y50" i="8" s="1"/>
  <c r="Z50" i="8" s="1"/>
  <c r="AA50" i="8" s="1"/>
  <c r="AB50" i="8" s="1"/>
  <c r="AC50" i="8" s="1"/>
  <c r="AD50" i="8" s="1"/>
  <c r="AE50" i="8" s="1"/>
  <c r="AF50" i="8" s="1"/>
  <c r="AG50" i="8" s="1"/>
  <c r="AH50" i="8" s="1"/>
  <c r="AI50" i="8" s="1"/>
  <c r="AJ50" i="8" s="1"/>
  <c r="AK50" i="8" s="1"/>
  <c r="D51" i="8"/>
  <c r="E51" i="8"/>
  <c r="F51" i="8"/>
  <c r="G51" i="8" s="1"/>
  <c r="H51" i="8" s="1"/>
  <c r="I51" i="8" s="1"/>
  <c r="J51" i="8" s="1"/>
  <c r="K51" i="8" s="1"/>
  <c r="L51" i="8" s="1"/>
  <c r="M51" i="8" s="1"/>
  <c r="N51" i="8"/>
  <c r="O51" i="8" s="1"/>
  <c r="P51" i="8" s="1"/>
  <c r="Q51" i="8" s="1"/>
  <c r="R51" i="8" s="1"/>
  <c r="S51" i="8" s="1"/>
  <c r="T51" i="8" s="1"/>
  <c r="U51" i="8" s="1"/>
  <c r="V51" i="8"/>
  <c r="W51" i="8" s="1"/>
  <c r="X51" i="8" s="1"/>
  <c r="Y51" i="8" s="1"/>
  <c r="Z51" i="8" s="1"/>
  <c r="AA51" i="8" s="1"/>
  <c r="AB51" i="8" s="1"/>
  <c r="AC51" i="8" s="1"/>
  <c r="AD51" i="8" s="1"/>
  <c r="AE51" i="8" s="1"/>
  <c r="AF51" i="8" s="1"/>
  <c r="AG51" i="8" s="1"/>
  <c r="AH51" i="8" s="1"/>
  <c r="AI51" i="8" s="1"/>
  <c r="AJ51" i="8" s="1"/>
  <c r="AK51" i="8" s="1"/>
  <c r="D52" i="8"/>
  <c r="E52" i="8" s="1"/>
  <c r="F52" i="8" s="1"/>
  <c r="G52" i="8" s="1"/>
  <c r="H52" i="8" s="1"/>
  <c r="I52" i="8" s="1"/>
  <c r="J52" i="8" s="1"/>
  <c r="K52" i="8" s="1"/>
  <c r="L52" i="8"/>
  <c r="M52" i="8" s="1"/>
  <c r="N52" i="8" s="1"/>
  <c r="O52" i="8" s="1"/>
  <c r="P52" i="8" s="1"/>
  <c r="Q52" i="8" s="1"/>
  <c r="R52" i="8" s="1"/>
  <c r="S52" i="8" s="1"/>
  <c r="T52" i="8"/>
  <c r="U52" i="8" s="1"/>
  <c r="V52" i="8" s="1"/>
  <c r="W52" i="8" s="1"/>
  <c r="X52" i="8" s="1"/>
  <c r="Y52" i="8" s="1"/>
  <c r="Z52" i="8" s="1"/>
  <c r="AA52" i="8" s="1"/>
  <c r="AB52" i="8" s="1"/>
  <c r="AC52" i="8" s="1"/>
  <c r="AD52" i="8" s="1"/>
  <c r="AE52" i="8" s="1"/>
  <c r="AF52" i="8" s="1"/>
  <c r="AG52" i="8" s="1"/>
  <c r="AH52" i="8" s="1"/>
  <c r="AI52" i="8" s="1"/>
  <c r="AJ52" i="8" s="1"/>
  <c r="AK52" i="8" s="1"/>
  <c r="D53" i="8"/>
  <c r="E53" i="8"/>
  <c r="F53" i="8"/>
  <c r="G53" i="8" s="1"/>
  <c r="H53" i="8" s="1"/>
  <c r="I53" i="8" s="1"/>
  <c r="J53" i="8" s="1"/>
  <c r="K53" i="8" s="1"/>
  <c r="L53" i="8" s="1"/>
  <c r="M53" i="8"/>
  <c r="N53" i="8" s="1"/>
  <c r="O53" i="8" s="1"/>
  <c r="P53" i="8" s="1"/>
  <c r="Q53" i="8" s="1"/>
  <c r="R53" i="8"/>
  <c r="S53" i="8" s="1"/>
  <c r="T53" i="8" s="1"/>
  <c r="U53" i="8" s="1"/>
  <c r="V53" i="8" s="1"/>
  <c r="W53" i="8"/>
  <c r="X53" i="8" s="1"/>
  <c r="Y53" i="8" s="1"/>
  <c r="Z53" i="8" s="1"/>
  <c r="AA53" i="8" s="1"/>
  <c r="AB53" i="8" s="1"/>
  <c r="AC53" i="8" s="1"/>
  <c r="AD53" i="8" s="1"/>
  <c r="AE53" i="8" s="1"/>
  <c r="AF53" i="8" s="1"/>
  <c r="AG53" i="8" s="1"/>
  <c r="AH53" i="8" s="1"/>
  <c r="AI53" i="8" s="1"/>
  <c r="AJ53" i="8" s="1"/>
  <c r="AK53" i="8" s="1"/>
  <c r="D54" i="8"/>
  <c r="E54" i="8"/>
  <c r="F54" i="8" s="1"/>
  <c r="G54" i="8" s="1"/>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AJ54" i="8" s="1"/>
  <c r="AK54" i="8" s="1"/>
  <c r="D55" i="8"/>
  <c r="E55" i="8"/>
  <c r="F55" i="8"/>
  <c r="G55" i="8"/>
  <c r="H55" i="8" s="1"/>
  <c r="I55" i="8" s="1"/>
  <c r="J55" i="8" s="1"/>
  <c r="K55" i="8" s="1"/>
  <c r="L55" i="8" s="1"/>
  <c r="M55" i="8"/>
  <c r="N55" i="8" s="1"/>
  <c r="O55" i="8" s="1"/>
  <c r="P55" i="8" s="1"/>
  <c r="Q55" i="8" s="1"/>
  <c r="R55" i="8"/>
  <c r="S55" i="8" s="1"/>
  <c r="T55" i="8" s="1"/>
  <c r="U55" i="8" s="1"/>
  <c r="V55" i="8" s="1"/>
  <c r="W55" i="8" s="1"/>
  <c r="X55" i="8" s="1"/>
  <c r="Y55" i="8" s="1"/>
  <c r="Z55" i="8" s="1"/>
  <c r="AA55" i="8" s="1"/>
  <c r="AB55" i="8" s="1"/>
  <c r="AC55" i="8" s="1"/>
  <c r="AD55" i="8" s="1"/>
  <c r="AE55" i="8" s="1"/>
  <c r="AF55" i="8" s="1"/>
  <c r="AG55" i="8" s="1"/>
  <c r="AH55" i="8" s="1"/>
  <c r="AI55" i="8" s="1"/>
  <c r="AJ55" i="8" s="1"/>
  <c r="AK55" i="8" s="1"/>
  <c r="D56" i="8"/>
  <c r="E56" i="8"/>
  <c r="F56" i="8" s="1"/>
  <c r="G56" i="8" s="1"/>
  <c r="H56" i="8" s="1"/>
  <c r="I56" i="8" s="1"/>
  <c r="J56" i="8" s="1"/>
  <c r="K56" i="8"/>
  <c r="L56" i="8" s="1"/>
  <c r="M56" i="8" s="1"/>
  <c r="N56" i="8" s="1"/>
  <c r="O56" i="8" s="1"/>
  <c r="P56" i="8"/>
  <c r="Q56" i="8" s="1"/>
  <c r="R56" i="8" s="1"/>
  <c r="S56" i="8" s="1"/>
  <c r="T56" i="8" s="1"/>
  <c r="U56" i="8"/>
  <c r="V56" i="8" s="1"/>
  <c r="W56" i="8" s="1"/>
  <c r="X56" i="8" s="1"/>
  <c r="Y56" i="8" s="1"/>
  <c r="Z56" i="8" s="1"/>
  <c r="AA56" i="8" s="1"/>
  <c r="AB56" i="8" s="1"/>
  <c r="AC56" i="8" s="1"/>
  <c r="AD56" i="8" s="1"/>
  <c r="AE56" i="8" s="1"/>
  <c r="AF56" i="8" s="1"/>
  <c r="AG56" i="8" s="1"/>
  <c r="AH56" i="8" s="1"/>
  <c r="AI56" i="8" s="1"/>
  <c r="AJ56" i="8" s="1"/>
  <c r="AK56" i="8" s="1"/>
  <c r="D57" i="8"/>
  <c r="E57" i="8"/>
  <c r="F57" i="8"/>
  <c r="G57" i="8"/>
  <c r="H57" i="8" s="1"/>
  <c r="I57" i="8" s="1"/>
  <c r="J57" i="8" s="1"/>
  <c r="K57" i="8" s="1"/>
  <c r="L57" i="8" s="1"/>
  <c r="M57" i="8"/>
  <c r="N57" i="8" s="1"/>
  <c r="O57" i="8" s="1"/>
  <c r="P57" i="8" s="1"/>
  <c r="Q57" i="8" s="1"/>
  <c r="R57" i="8" s="1"/>
  <c r="S57" i="8" s="1"/>
  <c r="T57" i="8" s="1"/>
  <c r="U57" i="8" s="1"/>
  <c r="V57" i="8" s="1"/>
  <c r="W57" i="8" s="1"/>
  <c r="X57" i="8" s="1"/>
  <c r="Y57" i="8" s="1"/>
  <c r="Z57" i="8" s="1"/>
  <c r="AA57" i="8" s="1"/>
  <c r="AB57" i="8" s="1"/>
  <c r="AC57" i="8" s="1"/>
  <c r="AD57" i="8" s="1"/>
  <c r="AE57" i="8" s="1"/>
  <c r="AF57" i="8" s="1"/>
  <c r="AG57" i="8" s="1"/>
  <c r="AH57" i="8" s="1"/>
  <c r="AI57" i="8" s="1"/>
  <c r="AJ57" i="8" s="1"/>
  <c r="AK57" i="8" s="1"/>
  <c r="D58" i="8"/>
  <c r="E58" i="8"/>
  <c r="F58" i="8" s="1"/>
  <c r="G58" i="8" s="1"/>
  <c r="H58" i="8" s="1"/>
  <c r="I58" i="8" s="1"/>
  <c r="J58" i="8" s="1"/>
  <c r="K58" i="8"/>
  <c r="L58" i="8" s="1"/>
  <c r="M58" i="8" s="1"/>
  <c r="N58" i="8" s="1"/>
  <c r="O58" i="8" s="1"/>
  <c r="P58" i="8"/>
  <c r="Q58" i="8" s="1"/>
  <c r="R58" i="8" s="1"/>
  <c r="S58" i="8" s="1"/>
  <c r="T58" i="8" s="1"/>
  <c r="U58" i="8" s="1"/>
  <c r="V58" i="8" s="1"/>
  <c r="W58" i="8" s="1"/>
  <c r="X58" i="8" s="1"/>
  <c r="Y58" i="8" s="1"/>
  <c r="Z58" i="8" s="1"/>
  <c r="AA58" i="8" s="1"/>
  <c r="AB58" i="8" s="1"/>
  <c r="AC58" i="8" s="1"/>
  <c r="AD58" i="8" s="1"/>
  <c r="AE58" i="8" s="1"/>
  <c r="AF58" i="8" s="1"/>
  <c r="AG58" i="8" s="1"/>
  <c r="AH58" i="8" s="1"/>
  <c r="AI58" i="8" s="1"/>
  <c r="AJ58" i="8" s="1"/>
  <c r="AK58" i="8" s="1"/>
  <c r="D59" i="8"/>
  <c r="E59" i="8"/>
  <c r="F59" i="8"/>
  <c r="G59" i="8"/>
  <c r="H59" i="8" s="1"/>
  <c r="I59" i="8" s="1"/>
  <c r="J59" i="8" s="1"/>
  <c r="K59" i="8" s="1"/>
  <c r="L59" i="8" s="1"/>
  <c r="M59" i="8" s="1"/>
  <c r="N59" i="8" s="1"/>
  <c r="O59" i="8" s="1"/>
  <c r="P59" i="8" s="1"/>
  <c r="Q59" i="8" s="1"/>
  <c r="R59" i="8" s="1"/>
  <c r="S59" i="8" s="1"/>
  <c r="T59" i="8" s="1"/>
  <c r="U59" i="8" s="1"/>
  <c r="V59" i="8" s="1"/>
  <c r="W59" i="8" s="1"/>
  <c r="X59" i="8" s="1"/>
  <c r="Y59" i="8" s="1"/>
  <c r="Z59" i="8" s="1"/>
  <c r="AA59" i="8" s="1"/>
  <c r="AB59" i="8" s="1"/>
  <c r="AC59" i="8" s="1"/>
  <c r="AD59" i="8" s="1"/>
  <c r="AE59" i="8" s="1"/>
  <c r="AF59" i="8" s="1"/>
  <c r="AG59" i="8" s="1"/>
  <c r="AH59" i="8" s="1"/>
  <c r="AI59" i="8" s="1"/>
  <c r="AJ59" i="8" s="1"/>
  <c r="AK59" i="8" s="1"/>
  <c r="D60" i="8"/>
  <c r="E60" i="8"/>
  <c r="F60" i="8" s="1"/>
  <c r="G60" i="8" s="1"/>
  <c r="H60" i="8" s="1"/>
  <c r="I60" i="8" s="1"/>
  <c r="J60" i="8" s="1"/>
  <c r="K60" i="8"/>
  <c r="L60" i="8" s="1"/>
  <c r="M60" i="8" s="1"/>
  <c r="N60" i="8" s="1"/>
  <c r="O60" i="8" s="1"/>
  <c r="P60" i="8" s="1"/>
  <c r="Q60" i="8" s="1"/>
  <c r="R60" i="8" s="1"/>
  <c r="S60" i="8" s="1"/>
  <c r="T60" i="8" s="1"/>
  <c r="U60" i="8" s="1"/>
  <c r="V60" i="8" s="1"/>
  <c r="W60" i="8" s="1"/>
  <c r="X60" i="8" s="1"/>
  <c r="Y60" i="8" s="1"/>
  <c r="Z60" i="8" s="1"/>
  <c r="AA60" i="8" s="1"/>
  <c r="AB60" i="8" s="1"/>
  <c r="AC60" i="8" s="1"/>
  <c r="AD60" i="8" s="1"/>
  <c r="AE60" i="8" s="1"/>
  <c r="AF60" i="8" s="1"/>
  <c r="AG60" i="8" s="1"/>
  <c r="AH60" i="8" s="1"/>
  <c r="AI60" i="8" s="1"/>
  <c r="AJ60" i="8" s="1"/>
  <c r="AK60" i="8" s="1"/>
  <c r="D61" i="8"/>
  <c r="E61" i="8"/>
  <c r="F61" i="8"/>
  <c r="G61" i="8"/>
  <c r="H61" i="8" s="1"/>
  <c r="I61" i="8" s="1"/>
  <c r="J61" i="8" s="1"/>
  <c r="K61" i="8"/>
  <c r="L61" i="8" s="1"/>
  <c r="M61" i="8" s="1"/>
  <c r="N61" i="8" s="1"/>
  <c r="O61" i="8"/>
  <c r="P61" i="8" s="1"/>
  <c r="Q61" i="8" s="1"/>
  <c r="R61" i="8" s="1"/>
  <c r="S61" i="8"/>
  <c r="T61" i="8" s="1"/>
  <c r="U61" i="8" s="1"/>
  <c r="V61" i="8" s="1"/>
  <c r="W61" i="8" s="1"/>
  <c r="X61" i="8" s="1"/>
  <c r="Y61" i="8" s="1"/>
  <c r="Z61" i="8" s="1"/>
  <c r="AA61" i="8" s="1"/>
  <c r="AB61" i="8" s="1"/>
  <c r="AC61" i="8" s="1"/>
  <c r="AD61" i="8" s="1"/>
  <c r="AE61" i="8" s="1"/>
  <c r="AF61" i="8" s="1"/>
  <c r="AG61" i="8" s="1"/>
  <c r="AH61" i="8" s="1"/>
  <c r="AI61" i="8" s="1"/>
  <c r="AJ61" i="8" s="1"/>
  <c r="AK61" i="8" s="1"/>
  <c r="D62" i="8"/>
  <c r="E62" i="8"/>
  <c r="F62" i="8" s="1"/>
  <c r="G62" i="8" s="1"/>
  <c r="H62" i="8" s="1"/>
  <c r="I62" i="8"/>
  <c r="J62" i="8" s="1"/>
  <c r="K62" i="8" s="1"/>
  <c r="L62" i="8" s="1"/>
  <c r="M62" i="8"/>
  <c r="N62" i="8" s="1"/>
  <c r="O62" i="8" s="1"/>
  <c r="P62" i="8" s="1"/>
  <c r="Q62" i="8" s="1"/>
  <c r="R62" i="8" s="1"/>
  <c r="S62" i="8" s="1"/>
  <c r="T62" i="8" s="1"/>
  <c r="U62" i="8" s="1"/>
  <c r="V62" i="8" s="1"/>
  <c r="W62" i="8" s="1"/>
  <c r="X62" i="8" s="1"/>
  <c r="Y62" i="8" s="1"/>
  <c r="Z62" i="8" s="1"/>
  <c r="AA62" i="8" s="1"/>
  <c r="AB62" i="8" s="1"/>
  <c r="AC62" i="8" s="1"/>
  <c r="AD62" i="8" s="1"/>
  <c r="AE62" i="8" s="1"/>
  <c r="AF62" i="8" s="1"/>
  <c r="AG62" i="8" s="1"/>
  <c r="AH62" i="8" s="1"/>
  <c r="AI62" i="8" s="1"/>
  <c r="AJ62" i="8" s="1"/>
  <c r="AK62" i="8" s="1"/>
  <c r="D63" i="8"/>
  <c r="E63" i="8"/>
  <c r="F63" i="8"/>
  <c r="G63" i="8"/>
  <c r="H63" i="8" s="1"/>
  <c r="I63" i="8" s="1"/>
  <c r="J63" i="8" s="1"/>
  <c r="K63" i="8"/>
  <c r="L63" i="8" s="1"/>
  <c r="M63" i="8" s="1"/>
  <c r="N63" i="8" s="1"/>
  <c r="O63" i="8"/>
  <c r="P63" i="8" s="1"/>
  <c r="Q63" i="8" s="1"/>
  <c r="R63" i="8" s="1"/>
  <c r="S63" i="8" s="1"/>
  <c r="T63" i="8" s="1"/>
  <c r="U63" i="8" s="1"/>
  <c r="V63" i="8" s="1"/>
  <c r="W63" i="8" s="1"/>
  <c r="X63" i="8" s="1"/>
  <c r="Y63" i="8" s="1"/>
  <c r="Z63" i="8" s="1"/>
  <c r="AA63" i="8" s="1"/>
  <c r="AB63" i="8" s="1"/>
  <c r="AC63" i="8" s="1"/>
  <c r="AD63" i="8" s="1"/>
  <c r="AE63" i="8" s="1"/>
  <c r="AF63" i="8" s="1"/>
  <c r="AG63" i="8" s="1"/>
  <c r="AH63" i="8" s="1"/>
  <c r="AI63" i="8" s="1"/>
  <c r="AJ63" i="8" s="1"/>
  <c r="AK63" i="8" s="1"/>
  <c r="D64" i="8"/>
  <c r="E64" i="8"/>
  <c r="F64" i="8" s="1"/>
  <c r="G64" i="8" s="1"/>
  <c r="H64" i="8"/>
  <c r="I64" i="8" s="1"/>
  <c r="J64" i="8" s="1"/>
  <c r="K64" i="8" s="1"/>
  <c r="L64" i="8" s="1"/>
  <c r="M64" i="8" s="1"/>
  <c r="N64" i="8" s="1"/>
  <c r="O64" i="8" s="1"/>
  <c r="P64" i="8" s="1"/>
  <c r="Q64" i="8" s="1"/>
  <c r="R64" i="8" s="1"/>
  <c r="S64" i="8" s="1"/>
  <c r="T64" i="8" s="1"/>
  <c r="U64" i="8" s="1"/>
  <c r="V64" i="8" s="1"/>
  <c r="W64" i="8" s="1"/>
  <c r="X64" i="8" s="1"/>
  <c r="Y64" i="8" s="1"/>
  <c r="Z64" i="8" s="1"/>
  <c r="AA64" i="8" s="1"/>
  <c r="AB64" i="8" s="1"/>
  <c r="AC64" i="8" s="1"/>
  <c r="AD64" i="8" s="1"/>
  <c r="AE64" i="8" s="1"/>
  <c r="AF64" i="8" s="1"/>
  <c r="AG64" i="8" s="1"/>
  <c r="AH64" i="8" s="1"/>
  <c r="AI64" i="8" s="1"/>
  <c r="AJ64" i="8" s="1"/>
  <c r="AK64" i="8" s="1"/>
  <c r="D65" i="8"/>
  <c r="E65" i="8"/>
  <c r="F65" i="8"/>
  <c r="G65" i="8"/>
  <c r="H65" i="8" s="1"/>
  <c r="I65" i="8" s="1"/>
  <c r="J65" i="8"/>
  <c r="K65" i="8" s="1"/>
  <c r="L65" i="8" s="1"/>
  <c r="M65" i="8" s="1"/>
  <c r="N65" i="8" s="1"/>
  <c r="O65" i="8" s="1"/>
  <c r="P65" i="8" s="1"/>
  <c r="Q65" i="8" s="1"/>
  <c r="R65" i="8" s="1"/>
  <c r="S65" i="8" s="1"/>
  <c r="T65" i="8" s="1"/>
  <c r="U65" i="8" s="1"/>
  <c r="V65" i="8" s="1"/>
  <c r="W65" i="8" s="1"/>
  <c r="X65" i="8" s="1"/>
  <c r="Y65" i="8" s="1"/>
  <c r="Z65" i="8" s="1"/>
  <c r="AA65" i="8" s="1"/>
  <c r="AB65" i="8" s="1"/>
  <c r="AC65" i="8" s="1"/>
  <c r="AD65" i="8" s="1"/>
  <c r="AE65" i="8" s="1"/>
  <c r="AF65" i="8" s="1"/>
  <c r="AG65" i="8" s="1"/>
  <c r="AH65" i="8" s="1"/>
  <c r="AI65" i="8" s="1"/>
  <c r="AJ65" i="8" s="1"/>
  <c r="AK65" i="8" s="1"/>
  <c r="D66" i="8"/>
  <c r="E66" i="8"/>
  <c r="F66" i="8" s="1"/>
  <c r="G66" i="8" s="1"/>
  <c r="H66" i="8"/>
  <c r="I66" i="8" s="1"/>
  <c r="J66" i="8" s="1"/>
  <c r="K66" i="8" s="1"/>
  <c r="L66" i="8" s="1"/>
  <c r="M66" i="8" s="1"/>
  <c r="N66" i="8" s="1"/>
  <c r="O66" i="8" s="1"/>
  <c r="P66" i="8" s="1"/>
  <c r="Q66" i="8" s="1"/>
  <c r="R66" i="8" s="1"/>
  <c r="S66" i="8" s="1"/>
  <c r="T66" i="8" s="1"/>
  <c r="U66" i="8" s="1"/>
  <c r="V66" i="8" s="1"/>
  <c r="W66" i="8" s="1"/>
  <c r="X66" i="8" s="1"/>
  <c r="Y66" i="8" s="1"/>
  <c r="Z66" i="8" s="1"/>
  <c r="AA66" i="8" s="1"/>
  <c r="AB66" i="8" s="1"/>
  <c r="AC66" i="8" s="1"/>
  <c r="AD66" i="8" s="1"/>
  <c r="AE66" i="8" s="1"/>
  <c r="AF66" i="8" s="1"/>
  <c r="AG66" i="8" s="1"/>
  <c r="AH66" i="8" s="1"/>
  <c r="AI66" i="8" s="1"/>
  <c r="AJ66" i="8" s="1"/>
  <c r="AK66" i="8" s="1"/>
  <c r="D67" i="8"/>
  <c r="E67" i="8"/>
  <c r="F67" i="8"/>
  <c r="G67" i="8"/>
  <c r="H67" i="8" s="1"/>
  <c r="I67" i="8" s="1"/>
  <c r="J67" i="8"/>
  <c r="K67" i="8" s="1"/>
  <c r="L67" i="8" s="1"/>
  <c r="M67" i="8" s="1"/>
  <c r="N67" i="8" s="1"/>
  <c r="O67" i="8" s="1"/>
  <c r="P67" i="8" s="1"/>
  <c r="Q67" i="8" s="1"/>
  <c r="R67" i="8" s="1"/>
  <c r="S67" i="8" s="1"/>
  <c r="T67" i="8" s="1"/>
  <c r="U67" i="8" s="1"/>
  <c r="V67" i="8" s="1"/>
  <c r="W67" i="8" s="1"/>
  <c r="X67" i="8" s="1"/>
  <c r="Y67" i="8" s="1"/>
  <c r="Z67" i="8" s="1"/>
  <c r="AA67" i="8" s="1"/>
  <c r="AB67" i="8" s="1"/>
  <c r="AC67" i="8" s="1"/>
  <c r="AD67" i="8" s="1"/>
  <c r="AE67" i="8" s="1"/>
  <c r="AF67" i="8" s="1"/>
  <c r="AG67" i="8" s="1"/>
  <c r="AH67" i="8" s="1"/>
  <c r="AI67" i="8" s="1"/>
  <c r="AJ67" i="8" s="1"/>
  <c r="AK67" i="8" s="1"/>
  <c r="D68" i="8"/>
  <c r="E68" i="8"/>
  <c r="F68" i="8" s="1"/>
  <c r="G68" i="8" s="1"/>
  <c r="H68" i="8"/>
  <c r="I68" i="8" s="1"/>
  <c r="J68" i="8" s="1"/>
  <c r="K68" i="8" s="1"/>
  <c r="L68" i="8" s="1"/>
  <c r="M68" i="8" s="1"/>
  <c r="N68" i="8" s="1"/>
  <c r="O68" i="8" s="1"/>
  <c r="P68" i="8" s="1"/>
  <c r="Q68" i="8" s="1"/>
  <c r="R68" i="8" s="1"/>
  <c r="S68" i="8" s="1"/>
  <c r="T68" i="8" s="1"/>
  <c r="U68" i="8" s="1"/>
  <c r="V68" i="8" s="1"/>
  <c r="W68" i="8" s="1"/>
  <c r="X68" i="8" s="1"/>
  <c r="Y68" i="8" s="1"/>
  <c r="Z68" i="8" s="1"/>
  <c r="AA68" i="8" s="1"/>
  <c r="AB68" i="8" s="1"/>
  <c r="AC68" i="8" s="1"/>
  <c r="AD68" i="8" s="1"/>
  <c r="AE68" i="8" s="1"/>
  <c r="AF68" i="8" s="1"/>
  <c r="AG68" i="8" s="1"/>
  <c r="AH68" i="8" s="1"/>
  <c r="AI68" i="8" s="1"/>
  <c r="AJ68" i="8" s="1"/>
  <c r="AK68" i="8" s="1"/>
  <c r="D69" i="8"/>
  <c r="E69" i="8"/>
  <c r="F69" i="8"/>
  <c r="G69" i="8"/>
  <c r="H69" i="8" s="1"/>
  <c r="I69" i="8" s="1"/>
  <c r="J69" i="8" s="1"/>
  <c r="K69" i="8" s="1"/>
  <c r="L69" i="8" s="1"/>
  <c r="M69" i="8" s="1"/>
  <c r="N69" i="8" s="1"/>
  <c r="O69" i="8" s="1"/>
  <c r="P69" i="8" s="1"/>
  <c r="Q69" i="8" s="1"/>
  <c r="R69" i="8" s="1"/>
  <c r="S69" i="8" s="1"/>
  <c r="T69" i="8" s="1"/>
  <c r="U69" i="8" s="1"/>
  <c r="V69" i="8" s="1"/>
  <c r="W69" i="8" s="1"/>
  <c r="X69" i="8" s="1"/>
  <c r="Y69" i="8" s="1"/>
  <c r="Z69" i="8" s="1"/>
  <c r="AA69" i="8" s="1"/>
  <c r="AB69" i="8" s="1"/>
  <c r="AC69" i="8" s="1"/>
  <c r="AD69" i="8" s="1"/>
  <c r="AE69" i="8" s="1"/>
  <c r="AF69" i="8" s="1"/>
  <c r="AG69" i="8" s="1"/>
  <c r="AH69" i="8" s="1"/>
  <c r="AI69" i="8" s="1"/>
  <c r="AJ69" i="8" s="1"/>
  <c r="AK69" i="8" s="1"/>
  <c r="C94" i="8"/>
  <c r="C93" i="8"/>
  <c r="C92" i="8"/>
  <c r="C91" i="8"/>
  <c r="C90" i="8"/>
  <c r="C89" i="8"/>
  <c r="C88" i="8"/>
  <c r="C87" i="8"/>
  <c r="C86" i="8"/>
  <c r="C85" i="8"/>
  <c r="C84" i="8"/>
  <c r="C83" i="8"/>
  <c r="C82" i="8"/>
  <c r="C81" i="8"/>
  <c r="C80" i="8"/>
  <c r="C79" i="8"/>
  <c r="C73"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5" i="8"/>
  <c r="C4" i="8"/>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B39" i="6"/>
  <c r="B38" i="6"/>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B9" i="13"/>
  <c r="B8" i="13"/>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B10" i="1"/>
  <c r="F360" i="43" l="1"/>
  <c r="O6" i="43" s="1"/>
  <c r="E360" i="43"/>
  <c r="O23" i="43"/>
  <c r="F364" i="43"/>
  <c r="O10" i="43" s="1"/>
  <c r="E364" i="43"/>
  <c r="E519" i="43"/>
  <c r="E511" i="43"/>
  <c r="E503" i="43"/>
  <c r="E495" i="43"/>
  <c r="E487" i="43"/>
  <c r="E479" i="43"/>
  <c r="E471" i="43"/>
  <c r="E463" i="43"/>
  <c r="E455" i="43"/>
  <c r="E447" i="43"/>
  <c r="E439" i="43"/>
  <c r="E431" i="43"/>
  <c r="E423" i="43"/>
  <c r="E415" i="43"/>
  <c r="E407" i="43"/>
  <c r="E399" i="43"/>
  <c r="E391" i="43"/>
  <c r="E383" i="43"/>
  <c r="E375" i="43"/>
  <c r="E367" i="43"/>
  <c r="O13" i="43" s="1"/>
  <c r="F520" i="43"/>
  <c r="E516" i="43"/>
  <c r="F512" i="43"/>
  <c r="E508" i="43"/>
  <c r="F504" i="43"/>
  <c r="E500" i="43"/>
  <c r="F496" i="43"/>
  <c r="E492" i="43"/>
  <c r="F488" i="43"/>
  <c r="E484" i="43"/>
  <c r="F480" i="43"/>
  <c r="E476" i="43"/>
  <c r="F472" i="43"/>
  <c r="E468" i="43"/>
  <c r="F464" i="43"/>
  <c r="E460" i="43"/>
  <c r="F456" i="43"/>
  <c r="E452" i="43"/>
  <c r="F448" i="43"/>
  <c r="E444" i="43"/>
  <c r="F440" i="43"/>
  <c r="E436" i="43"/>
  <c r="F432" i="43"/>
  <c r="E428" i="43"/>
  <c r="F424" i="43"/>
  <c r="E420" i="43"/>
  <c r="F416" i="43"/>
  <c r="E412" i="43"/>
  <c r="F408" i="43"/>
  <c r="E404" i="43"/>
  <c r="F400" i="43"/>
  <c r="E396" i="43"/>
  <c r="F392" i="43"/>
  <c r="E388" i="43"/>
  <c r="F384" i="43"/>
  <c r="E380" i="43"/>
  <c r="F376" i="43"/>
  <c r="E372" i="43"/>
  <c r="F368" i="43"/>
  <c r="O14" i="43" s="1"/>
  <c r="E363" i="43"/>
  <c r="E358" i="43"/>
  <c r="F358" i="43"/>
  <c r="F518" i="43"/>
  <c r="E515" i="43"/>
  <c r="F510" i="43"/>
  <c r="E507" i="43"/>
  <c r="F502" i="43"/>
  <c r="E499" i="43"/>
  <c r="F494" i="43"/>
  <c r="E491" i="43"/>
  <c r="F486" i="43"/>
  <c r="E483" i="43"/>
  <c r="F478" i="43"/>
  <c r="E475" i="43"/>
  <c r="F470" i="43"/>
  <c r="E467" i="43"/>
  <c r="F462" i="43"/>
  <c r="E459" i="43"/>
  <c r="F454" i="43"/>
  <c r="E451" i="43"/>
  <c r="F446" i="43"/>
  <c r="E443" i="43"/>
  <c r="F438" i="43"/>
  <c r="E435" i="43"/>
  <c r="F430" i="43"/>
  <c r="E427" i="43"/>
  <c r="F422" i="43"/>
  <c r="E419" i="43"/>
  <c r="F414" i="43"/>
  <c r="E411" i="43"/>
  <c r="F406" i="43"/>
  <c r="E403" i="43"/>
  <c r="F398" i="43"/>
  <c r="E395" i="43"/>
  <c r="F390" i="43"/>
  <c r="E387" i="43"/>
  <c r="F382" i="43"/>
  <c r="E379" i="43"/>
  <c r="O25" i="43" s="1"/>
  <c r="F374" i="43"/>
  <c r="E371" i="43"/>
  <c r="E366" i="43"/>
  <c r="F366" i="43"/>
  <c r="E359" i="43"/>
  <c r="E362" i="43"/>
  <c r="F362" i="43"/>
  <c r="F356" i="43"/>
  <c r="O2" i="43"/>
  <c r="X73" i="11"/>
  <c r="H73" i="11"/>
  <c r="AI68" i="11"/>
  <c r="AI73" i="11" s="1"/>
  <c r="AE68" i="11"/>
  <c r="AE73" i="11" s="1"/>
  <c r="AA68" i="11"/>
  <c r="AA73" i="11" s="1"/>
  <c r="W68" i="11"/>
  <c r="W73" i="11" s="1"/>
  <c r="S68" i="11"/>
  <c r="S73" i="11" s="1"/>
  <c r="O68" i="11"/>
  <c r="O73" i="11" s="1"/>
  <c r="K68" i="11"/>
  <c r="K73" i="11" s="1"/>
  <c r="G68" i="11"/>
  <c r="G73" i="11" s="1"/>
  <c r="U69" i="11"/>
  <c r="E69" i="11"/>
  <c r="V68" i="11"/>
  <c r="V73" i="11" s="1"/>
  <c r="C68" i="11"/>
  <c r="C65" i="11"/>
  <c r="AD65" i="11"/>
  <c r="AD72" i="11" s="1"/>
  <c r="N65" i="11"/>
  <c r="N72" i="11" s="1"/>
  <c r="AG69" i="11"/>
  <c r="Q69" i="11"/>
  <c r="AJ67" i="11"/>
  <c r="AJ69" i="11"/>
  <c r="AJ73" i="11" s="1"/>
  <c r="AF67" i="11"/>
  <c r="AF69" i="11"/>
  <c r="AF73" i="11" s="1"/>
  <c r="AB67" i="11"/>
  <c r="AB69" i="11"/>
  <c r="AB73" i="11" s="1"/>
  <c r="X67" i="11"/>
  <c r="X69" i="11"/>
  <c r="T67" i="11"/>
  <c r="T69" i="11"/>
  <c r="T73" i="11" s="1"/>
  <c r="P67" i="11"/>
  <c r="P69" i="11"/>
  <c r="P73" i="11" s="1"/>
  <c r="L67" i="11"/>
  <c r="L69" i="11"/>
  <c r="L73" i="11" s="1"/>
  <c r="H67" i="11"/>
  <c r="H69" i="11"/>
  <c r="D67" i="11"/>
  <c r="D69" i="11"/>
  <c r="AG68" i="11"/>
  <c r="AG73" i="11" s="1"/>
  <c r="AC68" i="11"/>
  <c r="Y68" i="11"/>
  <c r="Y73" i="11" s="1"/>
  <c r="U68" i="11"/>
  <c r="U73" i="11" s="1"/>
  <c r="Q68" i="11"/>
  <c r="Q73" i="11" s="1"/>
  <c r="M68" i="11"/>
  <c r="M65" i="11"/>
  <c r="M72" i="11" s="1"/>
  <c r="I68" i="11"/>
  <c r="I73" i="11" s="1"/>
  <c r="I65" i="11"/>
  <c r="I72" i="11" s="1"/>
  <c r="E68" i="11"/>
  <c r="E65" i="11"/>
  <c r="AC65" i="11"/>
  <c r="AC72" i="11" s="1"/>
  <c r="U65" i="11"/>
  <c r="U72" i="11" s="1"/>
  <c r="AC69" i="11"/>
  <c r="M69" i="11"/>
  <c r="AJ65" i="11"/>
  <c r="AJ72" i="11" s="1"/>
  <c r="AF65" i="11"/>
  <c r="AF72" i="11" s="1"/>
  <c r="AB65" i="11"/>
  <c r="AB72" i="11" s="1"/>
  <c r="X65" i="11"/>
  <c r="T65" i="11"/>
  <c r="T72" i="11" s="1"/>
  <c r="P65" i="11"/>
  <c r="P72" i="11" s="1"/>
  <c r="L65" i="11"/>
  <c r="L72" i="11" s="1"/>
  <c r="H65" i="11"/>
  <c r="AI65" i="11"/>
  <c r="AI72" i="11" s="1"/>
  <c r="AE65" i="11"/>
  <c r="AE72" i="11" s="1"/>
  <c r="AA65" i="11"/>
  <c r="AA72" i="11" s="1"/>
  <c r="W65" i="11"/>
  <c r="W72" i="11" s="1"/>
  <c r="S65" i="11"/>
  <c r="S72" i="11" s="1"/>
  <c r="O65" i="11"/>
  <c r="O72" i="11" s="1"/>
  <c r="K65" i="11"/>
  <c r="K72" i="11" s="1"/>
  <c r="G65" i="11"/>
  <c r="G72" i="11" s="1"/>
  <c r="K69" i="28"/>
  <c r="J69" i="28"/>
  <c r="AG69" i="28"/>
  <c r="AC69" i="28"/>
  <c r="Y69" i="28"/>
  <c r="U69" i="28"/>
  <c r="Q69" i="28"/>
  <c r="M69" i="28"/>
  <c r="I69" i="28"/>
  <c r="E69" i="28"/>
  <c r="AI69" i="28"/>
  <c r="AE69" i="28"/>
  <c r="AA69" i="28"/>
  <c r="W69" i="28"/>
  <c r="S69" i="28"/>
  <c r="O69" i="28"/>
  <c r="G69" i="28"/>
  <c r="AH69" i="28"/>
  <c r="AD69" i="28"/>
  <c r="Z69" i="28"/>
  <c r="V69" i="28"/>
  <c r="R69" i="28"/>
  <c r="N69" i="28"/>
  <c r="F69" i="28"/>
  <c r="AJ69" i="28"/>
  <c r="AF69" i="28"/>
  <c r="AB69" i="28"/>
  <c r="X69" i="28"/>
  <c r="T69" i="28"/>
  <c r="P69" i="28"/>
  <c r="L69" i="28"/>
  <c r="H69" i="28"/>
  <c r="D69" i="28"/>
  <c r="C17" i="28"/>
  <c r="J10" i="27"/>
  <c r="C10" i="27"/>
  <c r="AG10" i="27"/>
  <c r="AC10" i="27"/>
  <c r="Y10" i="27"/>
  <c r="U10" i="27"/>
  <c r="Q10" i="27"/>
  <c r="M10" i="27"/>
  <c r="I10" i="27"/>
  <c r="E10" i="27"/>
  <c r="AI10" i="27"/>
  <c r="AE10" i="27"/>
  <c r="AA10" i="27"/>
  <c r="W10" i="27"/>
  <c r="S10" i="27"/>
  <c r="O10" i="27"/>
  <c r="G10" i="27"/>
  <c r="AH10" i="27"/>
  <c r="AD10" i="27"/>
  <c r="AD11" i="27" s="1"/>
  <c r="Z10" i="27"/>
  <c r="V10" i="27"/>
  <c r="R10" i="27"/>
  <c r="N10" i="27"/>
  <c r="F10" i="27"/>
  <c r="F11" i="27" s="1"/>
  <c r="AJ10" i="27"/>
  <c r="AF10" i="27"/>
  <c r="AB10" i="27"/>
  <c r="X10" i="27"/>
  <c r="T10" i="27"/>
  <c r="P10" i="27"/>
  <c r="L10" i="27"/>
  <c r="H10" i="27"/>
  <c r="O58" i="20"/>
  <c r="O119" i="20" s="1"/>
  <c r="AD93" i="18"/>
  <c r="R93" i="18"/>
  <c r="B93" i="18"/>
  <c r="AG93" i="18"/>
  <c r="AC93" i="18"/>
  <c r="Y93" i="18"/>
  <c r="U93" i="18"/>
  <c r="Q93" i="18"/>
  <c r="M93" i="18"/>
  <c r="I93" i="18"/>
  <c r="E93" i="18"/>
  <c r="B91" i="18"/>
  <c r="AF93" i="18"/>
  <c r="AB93" i="18"/>
  <c r="X93" i="18"/>
  <c r="T93" i="18"/>
  <c r="P93" i="18"/>
  <c r="L93" i="18"/>
  <c r="H93" i="18"/>
  <c r="D93" i="18"/>
  <c r="AH93" i="18"/>
  <c r="Z93" i="18"/>
  <c r="V93" i="18"/>
  <c r="N93" i="18"/>
  <c r="AI93" i="18"/>
  <c r="AE93" i="18"/>
  <c r="AA93" i="18"/>
  <c r="W93" i="18"/>
  <c r="S93" i="18"/>
  <c r="O93" i="18"/>
  <c r="K93" i="18"/>
  <c r="G93" i="18"/>
  <c r="C93" i="18"/>
  <c r="G20" i="18"/>
  <c r="H20" i="18" s="1"/>
  <c r="I20" i="18" s="1"/>
  <c r="J20" i="18" s="1"/>
  <c r="K20" i="18" s="1"/>
  <c r="L20" i="18" s="1"/>
  <c r="M20" i="18" s="1"/>
  <c r="N20" i="18" s="1"/>
  <c r="O20" i="18" s="1"/>
  <c r="P20" i="18" s="1"/>
  <c r="Q20" i="18" s="1"/>
  <c r="R20" i="18" s="1"/>
  <c r="S20" i="18" s="1"/>
  <c r="T20" i="18" s="1"/>
  <c r="U20" i="18" s="1"/>
  <c r="V20" i="18" s="1"/>
  <c r="W20" i="18" s="1"/>
  <c r="X20" i="18" s="1"/>
  <c r="Y20" i="18" s="1"/>
  <c r="Z20" i="18" s="1"/>
  <c r="AA20" i="18" s="1"/>
  <c r="AB20" i="18" s="1"/>
  <c r="AC20" i="18" s="1"/>
  <c r="AD20" i="18" s="1"/>
  <c r="AE20" i="18" s="1"/>
  <c r="AF20" i="18" s="1"/>
  <c r="AG20" i="18" s="1"/>
  <c r="AH20" i="18" s="1"/>
  <c r="AI20" i="18" s="1"/>
  <c r="AJ20" i="18" s="1"/>
  <c r="AK20" i="18" s="1"/>
  <c r="AL20" i="18" s="1"/>
  <c r="AM20" i="18" s="1"/>
  <c r="AN20" i="18" s="1"/>
  <c r="G19" i="18"/>
  <c r="H19" i="18" s="1"/>
  <c r="I19" i="18" s="1"/>
  <c r="J19" i="18" s="1"/>
  <c r="K19" i="18" s="1"/>
  <c r="L19" i="18" s="1"/>
  <c r="M19" i="18" s="1"/>
  <c r="N19" i="18" s="1"/>
  <c r="O19" i="18" s="1"/>
  <c r="P19" i="18" s="1"/>
  <c r="Q19" i="18" s="1"/>
  <c r="R19" i="18" s="1"/>
  <c r="S19" i="18" s="1"/>
  <c r="T19" i="18" s="1"/>
  <c r="U19" i="18" s="1"/>
  <c r="V19" i="18" s="1"/>
  <c r="W19" i="18" s="1"/>
  <c r="X19" i="18" s="1"/>
  <c r="Y19" i="18" s="1"/>
  <c r="Z19" i="18" s="1"/>
  <c r="AA19" i="18" s="1"/>
  <c r="AB19" i="18" s="1"/>
  <c r="AC19" i="18" s="1"/>
  <c r="AD19" i="18" s="1"/>
  <c r="AE19" i="18" s="1"/>
  <c r="AF19" i="18" s="1"/>
  <c r="AG19" i="18" s="1"/>
  <c r="AH19" i="18" s="1"/>
  <c r="AI19" i="18" s="1"/>
  <c r="AJ19" i="18" s="1"/>
  <c r="AK19" i="18" s="1"/>
  <c r="AL19" i="18" s="1"/>
  <c r="AM19" i="18" s="1"/>
  <c r="AN19" i="18" s="1"/>
  <c r="B58" i="11"/>
  <c r="F52" i="11"/>
  <c r="AI162" i="8"/>
  <c r="S162" i="8"/>
  <c r="AE162" i="8"/>
  <c r="AA162" i="8"/>
  <c r="W162" i="8"/>
  <c r="O162" i="8"/>
  <c r="K162" i="8"/>
  <c r="G162" i="8"/>
  <c r="AH162" i="8"/>
  <c r="AD162" i="8"/>
  <c r="Z162" i="8"/>
  <c r="V162" i="8"/>
  <c r="R162" i="8"/>
  <c r="N162" i="8"/>
  <c r="J162" i="8"/>
  <c r="F162" i="8"/>
  <c r="AK162" i="8"/>
  <c r="AG162" i="8"/>
  <c r="AC162" i="8"/>
  <c r="Y162" i="8"/>
  <c r="U162" i="8"/>
  <c r="Q162" i="8"/>
  <c r="M162" i="8"/>
  <c r="I162" i="8"/>
  <c r="E162" i="8"/>
  <c r="AJ162" i="8"/>
  <c r="AF162" i="8"/>
  <c r="AB162" i="8"/>
  <c r="X162" i="8"/>
  <c r="T162" i="8"/>
  <c r="P162" i="8"/>
  <c r="L162" i="8"/>
  <c r="H162" i="8"/>
  <c r="D162" i="8"/>
  <c r="E103" i="8"/>
  <c r="F78" i="8"/>
  <c r="G92" i="8"/>
  <c r="D77" i="8"/>
  <c r="E83" i="8"/>
  <c r="D76" i="8"/>
  <c r="E82" i="8"/>
  <c r="F10" i="8"/>
  <c r="G47" i="8"/>
  <c r="F9" i="8"/>
  <c r="G39" i="8"/>
  <c r="E10" i="8"/>
  <c r="D10" i="8"/>
  <c r="D8" i="8"/>
  <c r="E30" i="8"/>
  <c r="E11" i="8"/>
  <c r="F24" i="8"/>
  <c r="F4" i="8"/>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AK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B31" i="30"/>
  <c r="C31" i="30"/>
  <c r="D31" i="30"/>
  <c r="E31" i="30"/>
  <c r="E28" i="30" s="1"/>
  <c r="E5" i="34" s="1"/>
  <c r="F31" i="30"/>
  <c r="G31" i="30"/>
  <c r="H31" i="30"/>
  <c r="I31" i="30"/>
  <c r="J31" i="30"/>
  <c r="K31" i="30"/>
  <c r="L31" i="30"/>
  <c r="M31" i="30"/>
  <c r="M28" i="30" s="1"/>
  <c r="E13" i="34" s="1"/>
  <c r="N31" i="30"/>
  <c r="O31" i="30"/>
  <c r="P31" i="30"/>
  <c r="Q31" i="30"/>
  <c r="Q28" i="30" s="1"/>
  <c r="E17" i="34" s="1"/>
  <c r="R31" i="30"/>
  <c r="S31" i="30"/>
  <c r="T31" i="30"/>
  <c r="U31" i="30"/>
  <c r="V31" i="30"/>
  <c r="W31" i="30"/>
  <c r="X31" i="30"/>
  <c r="Y31" i="30"/>
  <c r="Z31" i="30"/>
  <c r="AA31" i="30"/>
  <c r="AB31" i="30"/>
  <c r="AC31" i="30"/>
  <c r="AC28" i="30" s="1"/>
  <c r="E29" i="34" s="1"/>
  <c r="AD31" i="30"/>
  <c r="AE31" i="30"/>
  <c r="AF31" i="30"/>
  <c r="AG31" i="30"/>
  <c r="AH31" i="30"/>
  <c r="AI31" i="30"/>
  <c r="AJ31" i="30"/>
  <c r="B53" i="30"/>
  <c r="C53"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AG53" i="30"/>
  <c r="AH53" i="30"/>
  <c r="AI53" i="30"/>
  <c r="AJ53" i="30"/>
  <c r="B54" i="30"/>
  <c r="C54"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AG54" i="30"/>
  <c r="AH54" i="30"/>
  <c r="AI54" i="30"/>
  <c r="AJ54" i="30"/>
  <c r="B6"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AJ6"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AH14" i="30"/>
  <c r="AI14" i="30"/>
  <c r="AJ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H15" i="30"/>
  <c r="AI15" i="30"/>
  <c r="AJ15" i="30"/>
  <c r="B30" i="30"/>
  <c r="C30" i="30"/>
  <c r="D30" i="30"/>
  <c r="E30" i="30"/>
  <c r="F30" i="30"/>
  <c r="G30" i="30"/>
  <c r="H30" i="30"/>
  <c r="I30" i="30"/>
  <c r="J30" i="30"/>
  <c r="K30" i="30"/>
  <c r="K28" i="30" s="1"/>
  <c r="E11" i="34" s="1"/>
  <c r="L30" i="30"/>
  <c r="M30" i="30"/>
  <c r="N30" i="30"/>
  <c r="O30" i="30"/>
  <c r="P30" i="30"/>
  <c r="Q30" i="30"/>
  <c r="R30" i="30"/>
  <c r="S30" i="30"/>
  <c r="T30" i="30"/>
  <c r="U30" i="30"/>
  <c r="V30" i="30"/>
  <c r="W30" i="30"/>
  <c r="W28" i="30" s="1"/>
  <c r="E23" i="34" s="1"/>
  <c r="X30" i="30"/>
  <c r="Y30" i="30"/>
  <c r="Z30" i="30"/>
  <c r="AA30" i="30"/>
  <c r="AB30" i="30"/>
  <c r="AC30" i="30"/>
  <c r="AD30" i="30"/>
  <c r="AE30" i="30"/>
  <c r="AF30" i="30"/>
  <c r="AG30" i="30"/>
  <c r="AH30" i="30"/>
  <c r="AI30" i="30"/>
  <c r="AJ30" i="30"/>
  <c r="B33" i="30"/>
  <c r="C33"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AG33" i="30"/>
  <c r="AH33" i="30"/>
  <c r="AI33" i="30"/>
  <c r="AJ33" i="30"/>
  <c r="B34" i="30"/>
  <c r="B27" i="30" s="1"/>
  <c r="C34" i="30"/>
  <c r="C27" i="30" s="1"/>
  <c r="D34" i="30"/>
  <c r="D27" i="30" s="1"/>
  <c r="E34" i="30"/>
  <c r="E27" i="30" s="1"/>
  <c r="F34" i="30"/>
  <c r="F27" i="30" s="1"/>
  <c r="G34" i="30"/>
  <c r="G27" i="30" s="1"/>
  <c r="H34" i="30"/>
  <c r="H27" i="30" s="1"/>
  <c r="I34" i="30"/>
  <c r="I27" i="30" s="1"/>
  <c r="J34" i="30"/>
  <c r="J27" i="30" s="1"/>
  <c r="K34" i="30"/>
  <c r="K27" i="30" s="1"/>
  <c r="L34" i="30"/>
  <c r="L27" i="30" s="1"/>
  <c r="M34" i="30"/>
  <c r="M27" i="30" s="1"/>
  <c r="N34" i="30"/>
  <c r="N27" i="30" s="1"/>
  <c r="O34" i="30"/>
  <c r="O27" i="30" s="1"/>
  <c r="P34" i="30"/>
  <c r="P27" i="30" s="1"/>
  <c r="Q34" i="30"/>
  <c r="Q27" i="30" s="1"/>
  <c r="R34" i="30"/>
  <c r="R27" i="30" s="1"/>
  <c r="S34" i="30"/>
  <c r="S27" i="30" s="1"/>
  <c r="T34" i="30"/>
  <c r="T27" i="30" s="1"/>
  <c r="U34" i="30"/>
  <c r="U27" i="30" s="1"/>
  <c r="V34" i="30"/>
  <c r="V27" i="30" s="1"/>
  <c r="W34" i="30"/>
  <c r="W27" i="30" s="1"/>
  <c r="X34" i="30"/>
  <c r="X27" i="30" s="1"/>
  <c r="Y34" i="30"/>
  <c r="Y27" i="30" s="1"/>
  <c r="Z34" i="30"/>
  <c r="Z27" i="30" s="1"/>
  <c r="AA34" i="30"/>
  <c r="AA27" i="30" s="1"/>
  <c r="AB34" i="30"/>
  <c r="AB27" i="30" s="1"/>
  <c r="AC34" i="30"/>
  <c r="AC27" i="30" s="1"/>
  <c r="AD34" i="30"/>
  <c r="AD27" i="30" s="1"/>
  <c r="AE34" i="30"/>
  <c r="AE27" i="30" s="1"/>
  <c r="AF34" i="30"/>
  <c r="AF27" i="30" s="1"/>
  <c r="AG34" i="30"/>
  <c r="AG27" i="30" s="1"/>
  <c r="AH34" i="30"/>
  <c r="AH27" i="30" s="1"/>
  <c r="AI34" i="30"/>
  <c r="AI27" i="30" s="1"/>
  <c r="AJ34" i="30"/>
  <c r="AJ27" i="30" s="1"/>
  <c r="B42" i="30"/>
  <c r="C42"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AG42" i="30"/>
  <c r="AH42" i="30"/>
  <c r="AI42" i="30"/>
  <c r="AJ42" i="30"/>
  <c r="B81" i="30"/>
  <c r="C81"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AG81" i="30"/>
  <c r="AH81" i="30"/>
  <c r="AI81" i="30"/>
  <c r="AJ81" i="30"/>
  <c r="B82" i="30"/>
  <c r="C82"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B83" i="30"/>
  <c r="C83"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AH83" i="30"/>
  <c r="AI83" i="30"/>
  <c r="AJ83" i="30"/>
  <c r="B84" i="30"/>
  <c r="B74" i="30" s="1"/>
  <c r="I2" i="32" s="1"/>
  <c r="C84" i="30"/>
  <c r="C74" i="30" s="1"/>
  <c r="I3" i="32" s="1"/>
  <c r="D84" i="30"/>
  <c r="D74" i="30" s="1"/>
  <c r="I4" i="32" s="1"/>
  <c r="E84" i="30"/>
  <c r="F84" i="30"/>
  <c r="F74" i="30" s="1"/>
  <c r="I6" i="32" s="1"/>
  <c r="G84" i="30"/>
  <c r="G74" i="30" s="1"/>
  <c r="I7" i="32" s="1"/>
  <c r="H84" i="30"/>
  <c r="H74" i="30" s="1"/>
  <c r="I8" i="32" s="1"/>
  <c r="I84" i="30"/>
  <c r="I74" i="30" s="1"/>
  <c r="I9" i="32" s="1"/>
  <c r="J84" i="30"/>
  <c r="J74" i="30" s="1"/>
  <c r="I10" i="32" s="1"/>
  <c r="K84" i="30"/>
  <c r="K74" i="30" s="1"/>
  <c r="I11" i="32" s="1"/>
  <c r="L84" i="30"/>
  <c r="L74" i="30" s="1"/>
  <c r="I12" i="32" s="1"/>
  <c r="M84" i="30"/>
  <c r="M74" i="30" s="1"/>
  <c r="I13" i="32" s="1"/>
  <c r="N84" i="30"/>
  <c r="N74" i="30" s="1"/>
  <c r="I14" i="32" s="1"/>
  <c r="O84" i="30"/>
  <c r="O74" i="30" s="1"/>
  <c r="I15" i="32" s="1"/>
  <c r="P84" i="30"/>
  <c r="P74" i="30" s="1"/>
  <c r="I16" i="32" s="1"/>
  <c r="Q84" i="30"/>
  <c r="Q74" i="30" s="1"/>
  <c r="I17" i="32" s="1"/>
  <c r="R84" i="30"/>
  <c r="R74" i="30" s="1"/>
  <c r="I18" i="32" s="1"/>
  <c r="S84" i="30"/>
  <c r="S74" i="30" s="1"/>
  <c r="I19" i="32" s="1"/>
  <c r="T84" i="30"/>
  <c r="T74" i="30" s="1"/>
  <c r="I20" i="32" s="1"/>
  <c r="U84" i="30"/>
  <c r="U74" i="30" s="1"/>
  <c r="I21" i="32" s="1"/>
  <c r="V84" i="30"/>
  <c r="V74" i="30" s="1"/>
  <c r="I22" i="32" s="1"/>
  <c r="W84" i="30"/>
  <c r="W74" i="30" s="1"/>
  <c r="I23" i="32" s="1"/>
  <c r="X84" i="30"/>
  <c r="X74" i="30" s="1"/>
  <c r="I24" i="32" s="1"/>
  <c r="Y84" i="30"/>
  <c r="Y74" i="30" s="1"/>
  <c r="I25" i="32" s="1"/>
  <c r="Z84" i="30"/>
  <c r="Z74" i="30" s="1"/>
  <c r="I26" i="32" s="1"/>
  <c r="AA84" i="30"/>
  <c r="AA74" i="30" s="1"/>
  <c r="I27" i="32" s="1"/>
  <c r="AB84" i="30"/>
  <c r="AB74" i="30" s="1"/>
  <c r="I28" i="32" s="1"/>
  <c r="AC84" i="30"/>
  <c r="AD84" i="30"/>
  <c r="AD74" i="30" s="1"/>
  <c r="I30" i="32" s="1"/>
  <c r="AE84" i="30"/>
  <c r="AE74" i="30" s="1"/>
  <c r="I31" i="32" s="1"/>
  <c r="AF84" i="30"/>
  <c r="AF74" i="30" s="1"/>
  <c r="I32" i="32" s="1"/>
  <c r="AG84" i="30"/>
  <c r="AG74" i="30" s="1"/>
  <c r="I33" i="32" s="1"/>
  <c r="AH84" i="30"/>
  <c r="AH74" i="30" s="1"/>
  <c r="I34" i="32" s="1"/>
  <c r="AI84" i="30"/>
  <c r="AI74" i="30" s="1"/>
  <c r="I35" i="32" s="1"/>
  <c r="AJ84" i="30"/>
  <c r="AJ74" i="30" s="1"/>
  <c r="I36" i="32" s="1"/>
  <c r="B68" i="30"/>
  <c r="C68" i="30"/>
  <c r="D68" i="30"/>
  <c r="E68" i="30"/>
  <c r="F68" i="30"/>
  <c r="G68" i="30"/>
  <c r="H68" i="30"/>
  <c r="I68" i="30"/>
  <c r="J68" i="30"/>
  <c r="K68" i="30"/>
  <c r="L68" i="30"/>
  <c r="M68" i="30"/>
  <c r="N68" i="30"/>
  <c r="O68" i="30"/>
  <c r="P68" i="30"/>
  <c r="Q68" i="30"/>
  <c r="R68" i="30"/>
  <c r="S68" i="30"/>
  <c r="T68" i="30"/>
  <c r="U68" i="30"/>
  <c r="V68" i="30"/>
  <c r="W68" i="30"/>
  <c r="X68" i="30"/>
  <c r="Y68" i="30"/>
  <c r="Z68" i="30"/>
  <c r="AA68" i="30"/>
  <c r="AB68" i="30"/>
  <c r="AC68" i="30"/>
  <c r="AD68" i="30"/>
  <c r="AE68" i="30"/>
  <c r="AF68" i="30"/>
  <c r="AG68" i="30"/>
  <c r="AH68" i="30"/>
  <c r="AI68" i="30"/>
  <c r="AJ68" i="30"/>
  <c r="C156" i="20"/>
  <c r="D156" i="20" s="1"/>
  <c r="E156" i="20" s="1"/>
  <c r="F156" i="20" s="1"/>
  <c r="G156" i="20" s="1"/>
  <c r="H156" i="20" s="1"/>
  <c r="I156" i="20" s="1"/>
  <c r="J156" i="20" s="1"/>
  <c r="K156" i="20" s="1"/>
  <c r="L156" i="20" s="1"/>
  <c r="M156" i="20" s="1"/>
  <c r="N156" i="20" s="1"/>
  <c r="O156" i="20" s="1"/>
  <c r="P156" i="20" s="1"/>
  <c r="Q156" i="20" s="1"/>
  <c r="R156" i="20" s="1"/>
  <c r="S156" i="20" s="1"/>
  <c r="T156" i="20" s="1"/>
  <c r="U156" i="20" s="1"/>
  <c r="V156" i="20" s="1"/>
  <c r="W156" i="20" s="1"/>
  <c r="X156" i="20" s="1"/>
  <c r="Y156" i="20" s="1"/>
  <c r="Z156" i="20" s="1"/>
  <c r="AA156" i="20" s="1"/>
  <c r="AB156" i="20" s="1"/>
  <c r="AC156" i="20" s="1"/>
  <c r="AD156" i="20" s="1"/>
  <c r="AE156" i="20" s="1"/>
  <c r="AF156" i="20" s="1"/>
  <c r="AG156" i="20" s="1"/>
  <c r="AH156" i="20" s="1"/>
  <c r="AI156" i="20" s="1"/>
  <c r="AJ156" i="20" s="1"/>
  <c r="B44" i="20"/>
  <c r="B33" i="18"/>
  <c r="B32" i="18"/>
  <c r="B31" i="18"/>
  <c r="E74" i="30"/>
  <c r="I5" i="32" s="1"/>
  <c r="AC74" i="30"/>
  <c r="I29" i="32" s="1"/>
  <c r="B200" i="8"/>
  <c r="B40" i="20"/>
  <c r="B16" i="26"/>
  <c r="B3" i="26"/>
  <c r="B7" i="26"/>
  <c r="B10" i="26"/>
  <c r="B8" i="26"/>
  <c r="B9" i="26"/>
  <c r="B27" i="26"/>
  <c r="C27" i="26"/>
  <c r="B12" i="26"/>
  <c r="B11" i="26"/>
  <c r="B26" i="26"/>
  <c r="C26" i="26"/>
  <c r="K23" i="30"/>
  <c r="K20" i="30" s="1"/>
  <c r="D11" i="32" s="1"/>
  <c r="AA23" i="30"/>
  <c r="AA20" i="30" s="1"/>
  <c r="D27" i="32" s="1"/>
  <c r="B199" i="8"/>
  <c r="B164" i="8"/>
  <c r="B162" i="8"/>
  <c r="C172" i="8"/>
  <c r="C173" i="8"/>
  <c r="C174" i="8"/>
  <c r="C188" i="8"/>
  <c r="C171" i="8"/>
  <c r="C168" i="8"/>
  <c r="C169" i="8"/>
  <c r="C170" i="8"/>
  <c r="C167" i="8"/>
  <c r="B101" i="8"/>
  <c r="B74" i="8"/>
  <c r="C76" i="8"/>
  <c r="D73" i="8"/>
  <c r="E73" i="8" s="1"/>
  <c r="F73" i="8"/>
  <c r="G73" i="8" s="1"/>
  <c r="H73" i="8" s="1"/>
  <c r="I73" i="8" s="1"/>
  <c r="J73" i="8" s="1"/>
  <c r="K73" i="8" s="1"/>
  <c r="L73" i="8" s="1"/>
  <c r="M73" i="8" s="1"/>
  <c r="N73" i="8" s="1"/>
  <c r="O73" i="8" s="1"/>
  <c r="P73" i="8" s="1"/>
  <c r="Q73" i="8" s="1"/>
  <c r="R73" i="8" s="1"/>
  <c r="S73" i="8" s="1"/>
  <c r="T73" i="8" s="1"/>
  <c r="U73" i="8" s="1"/>
  <c r="V73" i="8" s="1"/>
  <c r="W73" i="8" s="1"/>
  <c r="X73" i="8" s="1"/>
  <c r="Y73" i="8" s="1"/>
  <c r="Z73" i="8" s="1"/>
  <c r="AA73" i="8" s="1"/>
  <c r="AB73" i="8" s="1"/>
  <c r="AC73" i="8" s="1"/>
  <c r="AD73" i="8" s="1"/>
  <c r="AE73" i="8" s="1"/>
  <c r="AF73" i="8" s="1"/>
  <c r="AG73" i="8" s="1"/>
  <c r="AH73" i="8" s="1"/>
  <c r="AI73" i="8" s="1"/>
  <c r="AJ73" i="8" s="1"/>
  <c r="AK73" i="8" s="1"/>
  <c r="B22" i="26"/>
  <c r="B36" i="26"/>
  <c r="B43" i="26"/>
  <c r="B29" i="26"/>
  <c r="C29" i="26"/>
  <c r="D26" i="26"/>
  <c r="B21" i="26"/>
  <c r="B28" i="26"/>
  <c r="C28" i="26"/>
  <c r="D27" i="26"/>
  <c r="B12" i="8"/>
  <c r="C6" i="8"/>
  <c r="C3" i="8"/>
  <c r="D3" i="8" s="1"/>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AH3" i="8" s="1"/>
  <c r="AI3" i="8" s="1"/>
  <c r="AJ3" i="8" s="1"/>
  <c r="AK3" i="8" s="1"/>
  <c r="E27" i="26"/>
  <c r="D28" i="26"/>
  <c r="C35" i="26"/>
  <c r="C42" i="26"/>
  <c r="C36" i="26"/>
  <c r="C43" i="26"/>
  <c r="D29" i="26"/>
  <c r="E26" i="26"/>
  <c r="B20" i="26"/>
  <c r="B17" i="26"/>
  <c r="B35" i="26"/>
  <c r="B42" i="26"/>
  <c r="C9" i="8"/>
  <c r="B28" i="6"/>
  <c r="V32" i="30"/>
  <c r="AE21" i="30"/>
  <c r="B22" i="30"/>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AF22" i="30"/>
  <c r="AG22" i="30"/>
  <c r="AH22" i="30"/>
  <c r="AI22" i="30"/>
  <c r="AJ22" i="30"/>
  <c r="B23" i="30"/>
  <c r="B20" i="30" s="1"/>
  <c r="D2" i="32" s="1"/>
  <c r="C23" i="30"/>
  <c r="C20" i="30" s="1"/>
  <c r="D3" i="32" s="1"/>
  <c r="D23" i="30"/>
  <c r="D20" i="30" s="1"/>
  <c r="D4" i="32" s="1"/>
  <c r="E23" i="30"/>
  <c r="E20" i="30" s="1"/>
  <c r="D5" i="32" s="1"/>
  <c r="F23" i="30"/>
  <c r="F20" i="30" s="1"/>
  <c r="D6" i="32" s="1"/>
  <c r="G23" i="30"/>
  <c r="G20" i="30" s="1"/>
  <c r="D7" i="32" s="1"/>
  <c r="H23" i="30"/>
  <c r="H20" i="30" s="1"/>
  <c r="D8" i="32" s="1"/>
  <c r="I23" i="30"/>
  <c r="I20" i="30" s="1"/>
  <c r="D9" i="32" s="1"/>
  <c r="J23" i="30"/>
  <c r="J20" i="30" s="1"/>
  <c r="D10" i="32" s="1"/>
  <c r="L23" i="30"/>
  <c r="L20" i="30" s="1"/>
  <c r="D12" i="32" s="1"/>
  <c r="M23" i="30"/>
  <c r="M20" i="30" s="1"/>
  <c r="D13" i="32" s="1"/>
  <c r="N23" i="30"/>
  <c r="N20" i="30" s="1"/>
  <c r="D14" i="32" s="1"/>
  <c r="O23" i="30"/>
  <c r="O20" i="30" s="1"/>
  <c r="D15" i="32" s="1"/>
  <c r="P23" i="30"/>
  <c r="P20" i="30" s="1"/>
  <c r="D16" i="32" s="1"/>
  <c r="Q23" i="30"/>
  <c r="Q20" i="30" s="1"/>
  <c r="D17" i="32" s="1"/>
  <c r="R23" i="30"/>
  <c r="R20" i="30" s="1"/>
  <c r="D18" i="32" s="1"/>
  <c r="S23" i="30"/>
  <c r="S20" i="30" s="1"/>
  <c r="D19" i="32" s="1"/>
  <c r="T23" i="30"/>
  <c r="T20" i="30" s="1"/>
  <c r="D20" i="32" s="1"/>
  <c r="U23" i="30"/>
  <c r="U20" i="30" s="1"/>
  <c r="D21" i="32" s="1"/>
  <c r="V23" i="30"/>
  <c r="V20" i="30" s="1"/>
  <c r="D22" i="32" s="1"/>
  <c r="W23" i="30"/>
  <c r="W20" i="30" s="1"/>
  <c r="D23" i="32" s="1"/>
  <c r="X23" i="30"/>
  <c r="X20" i="30" s="1"/>
  <c r="D24" i="32" s="1"/>
  <c r="Y23" i="30"/>
  <c r="Y20" i="30" s="1"/>
  <c r="D25" i="32" s="1"/>
  <c r="Z23" i="30"/>
  <c r="Z20" i="30" s="1"/>
  <c r="D26" i="32" s="1"/>
  <c r="AB23" i="30"/>
  <c r="AB20" i="30" s="1"/>
  <c r="D28" i="32" s="1"/>
  <c r="AC23" i="30"/>
  <c r="AC20" i="30" s="1"/>
  <c r="D29" i="32" s="1"/>
  <c r="AD23" i="30"/>
  <c r="AD20" i="30" s="1"/>
  <c r="D30" i="32" s="1"/>
  <c r="AE23" i="30"/>
  <c r="AE20" i="30" s="1"/>
  <c r="D31" i="32" s="1"/>
  <c r="AF23" i="30"/>
  <c r="AF20" i="30" s="1"/>
  <c r="D32" i="32" s="1"/>
  <c r="AG23" i="30"/>
  <c r="AG20" i="30" s="1"/>
  <c r="D33" i="32" s="1"/>
  <c r="AH23" i="30"/>
  <c r="AH20" i="30" s="1"/>
  <c r="D34" i="32" s="1"/>
  <c r="AI23" i="30"/>
  <c r="AI20" i="30" s="1"/>
  <c r="D35" i="32" s="1"/>
  <c r="AJ23" i="30"/>
  <c r="AJ20" i="30" s="1"/>
  <c r="D36" i="32" s="1"/>
  <c r="E11" i="1"/>
  <c r="E5" i="30" s="1"/>
  <c r="I11" i="1"/>
  <c r="I5" i="30" s="1"/>
  <c r="Q11" i="1"/>
  <c r="Q5" i="30" s="1"/>
  <c r="U11" i="1"/>
  <c r="U5" i="30" s="1"/>
  <c r="Y11" i="1"/>
  <c r="Y5" i="30" s="1"/>
  <c r="AC11" i="1"/>
  <c r="AC5" i="30" s="1"/>
  <c r="B11" i="1"/>
  <c r="B5" i="30" s="1"/>
  <c r="B19" i="26"/>
  <c r="B18" i="26"/>
  <c r="F26" i="26"/>
  <c r="E28" i="26"/>
  <c r="D35" i="26"/>
  <c r="D42" i="26"/>
  <c r="D36" i="26"/>
  <c r="D43" i="26"/>
  <c r="E29" i="26"/>
  <c r="F27" i="26"/>
  <c r="E34" i="26"/>
  <c r="E41" i="26"/>
  <c r="J32" i="30"/>
  <c r="AB21" i="30"/>
  <c r="AI32" i="30"/>
  <c r="AG21" i="30"/>
  <c r="B33" i="26"/>
  <c r="B40" i="26"/>
  <c r="C33" i="26"/>
  <c r="C40" i="26"/>
  <c r="D33" i="26"/>
  <c r="D40" i="26"/>
  <c r="B34" i="26"/>
  <c r="B41" i="26"/>
  <c r="C34" i="26"/>
  <c r="C41" i="26"/>
  <c r="D34" i="26"/>
  <c r="D41" i="26"/>
  <c r="F28" i="26"/>
  <c r="E35" i="26"/>
  <c r="E42" i="26"/>
  <c r="E36" i="26"/>
  <c r="E43" i="26"/>
  <c r="F29" i="26"/>
  <c r="E33" i="26"/>
  <c r="E40" i="26"/>
  <c r="E45" i="26"/>
  <c r="G27" i="26"/>
  <c r="F34" i="26"/>
  <c r="F41" i="26"/>
  <c r="G26" i="26"/>
  <c r="F33" i="26"/>
  <c r="F40" i="26"/>
  <c r="F45" i="26"/>
  <c r="D45" i="26"/>
  <c r="C45" i="26"/>
  <c r="B45" i="26"/>
  <c r="F35" i="26"/>
  <c r="F42" i="26"/>
  <c r="G28" i="26"/>
  <c r="H27" i="26"/>
  <c r="G34" i="26"/>
  <c r="G41" i="26"/>
  <c r="H26" i="26"/>
  <c r="G33" i="26"/>
  <c r="G40" i="26"/>
  <c r="G29" i="26"/>
  <c r="F36" i="26"/>
  <c r="F43" i="26"/>
  <c r="G45" i="26"/>
  <c r="H29" i="26"/>
  <c r="G36" i="26"/>
  <c r="G43" i="26"/>
  <c r="I27" i="26"/>
  <c r="H34" i="26"/>
  <c r="H41" i="26"/>
  <c r="G35" i="26"/>
  <c r="G42" i="26"/>
  <c r="H28" i="26"/>
  <c r="I26" i="26"/>
  <c r="H33" i="26"/>
  <c r="H40" i="26"/>
  <c r="H45" i="26"/>
  <c r="C43" i="28"/>
  <c r="C47" i="28" s="1"/>
  <c r="D47" i="28" s="1"/>
  <c r="E47" i="28" s="1"/>
  <c r="F47" i="28" s="1"/>
  <c r="G47" i="28" s="1"/>
  <c r="H47" i="28" s="1"/>
  <c r="I47" i="28" s="1"/>
  <c r="J47" i="28" s="1"/>
  <c r="K47" i="28" s="1"/>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AF47" i="28" s="1"/>
  <c r="AG47" i="28" s="1"/>
  <c r="AH47" i="28" s="1"/>
  <c r="AI47" i="28" s="1"/>
  <c r="AJ47" i="28" s="1"/>
  <c r="J26" i="26"/>
  <c r="I33" i="26"/>
  <c r="I40" i="26"/>
  <c r="J27" i="26"/>
  <c r="I34" i="26"/>
  <c r="I41" i="26"/>
  <c r="I28" i="26"/>
  <c r="H35" i="26"/>
  <c r="H42" i="26"/>
  <c r="I29" i="26"/>
  <c r="H36" i="26"/>
  <c r="H43" i="26"/>
  <c r="C12" i="28"/>
  <c r="C50" i="30" s="1"/>
  <c r="D12" i="28"/>
  <c r="D50" i="30" s="1"/>
  <c r="E12" i="28"/>
  <c r="E50" i="30" s="1"/>
  <c r="G12" i="28"/>
  <c r="G50" i="30" s="1"/>
  <c r="H12" i="28"/>
  <c r="H50" i="30" s="1"/>
  <c r="K12" i="28"/>
  <c r="K50" i="30" s="1"/>
  <c r="L12" i="28"/>
  <c r="L50" i="30" s="1"/>
  <c r="O12" i="28"/>
  <c r="O50" i="30" s="1"/>
  <c r="P12" i="28"/>
  <c r="P50" i="30" s="1"/>
  <c r="S12" i="28"/>
  <c r="S50" i="30" s="1"/>
  <c r="T12" i="28"/>
  <c r="T50" i="30" s="1"/>
  <c r="W12" i="28"/>
  <c r="W50" i="30" s="1"/>
  <c r="X12" i="28"/>
  <c r="X50" i="30" s="1"/>
  <c r="AA12" i="28"/>
  <c r="AA50" i="30" s="1"/>
  <c r="AB12" i="28"/>
  <c r="AB50" i="30" s="1"/>
  <c r="AE12" i="28"/>
  <c r="AE50" i="30" s="1"/>
  <c r="AF12" i="28"/>
  <c r="AF50" i="30" s="1"/>
  <c r="AG12" i="28"/>
  <c r="AG50" i="30" s="1"/>
  <c r="AI12" i="28"/>
  <c r="AI50" i="30" s="1"/>
  <c r="AJ12" i="28"/>
  <c r="AJ50" i="30" s="1"/>
  <c r="G11" i="27"/>
  <c r="C9" i="27"/>
  <c r="AH11" i="27"/>
  <c r="R11" i="27"/>
  <c r="N11" i="27"/>
  <c r="J11" i="27"/>
  <c r="AG11" i="27"/>
  <c r="AC11" i="27"/>
  <c r="Y11" i="27"/>
  <c r="U11" i="27"/>
  <c r="Q11" i="27"/>
  <c r="M11" i="27"/>
  <c r="I11" i="27"/>
  <c r="I45" i="26"/>
  <c r="I36" i="26"/>
  <c r="I43" i="26"/>
  <c r="J29" i="26"/>
  <c r="K27" i="26"/>
  <c r="J34" i="26"/>
  <c r="J41" i="26"/>
  <c r="J28" i="26"/>
  <c r="I35" i="26"/>
  <c r="I42" i="26"/>
  <c r="K26" i="26"/>
  <c r="J33" i="26"/>
  <c r="J40" i="26"/>
  <c r="J45" i="26"/>
  <c r="B3" i="25"/>
  <c r="J3" i="25"/>
  <c r="K3" i="25" s="1"/>
  <c r="L3" i="25" s="1"/>
  <c r="M3" i="25" s="1"/>
  <c r="N3" i="25" s="1"/>
  <c r="O3" i="25" s="1"/>
  <c r="P3" i="25" s="1"/>
  <c r="Q3" i="25" s="1"/>
  <c r="R3" i="25" s="1"/>
  <c r="S3" i="25" s="1"/>
  <c r="T3" i="25" s="1"/>
  <c r="U3" i="25" s="1"/>
  <c r="V3" i="25" s="1"/>
  <c r="W3" i="25" s="1"/>
  <c r="X3" i="25" s="1"/>
  <c r="Y3" i="25" s="1"/>
  <c r="Z3" i="25" s="1"/>
  <c r="AA3" i="25" s="1"/>
  <c r="AB3" i="25" s="1"/>
  <c r="AC3" i="25" s="1"/>
  <c r="AD3" i="25" s="1"/>
  <c r="AE3" i="25" s="1"/>
  <c r="AF3" i="25" s="1"/>
  <c r="AG3" i="25" s="1"/>
  <c r="AH3" i="25" s="1"/>
  <c r="AI3" i="25" s="1"/>
  <c r="AJ3" i="25" s="1"/>
  <c r="AK3" i="25" s="1"/>
  <c r="AL3" i="25" s="1"/>
  <c r="AM3" i="25" s="1"/>
  <c r="B79" i="30"/>
  <c r="B12" i="23"/>
  <c r="B13" i="23"/>
  <c r="I13" i="23" s="1"/>
  <c r="B144" i="20"/>
  <c r="C144" i="20"/>
  <c r="C148" i="20" s="1"/>
  <c r="C110" i="20"/>
  <c r="D110" i="20"/>
  <c r="E110" i="20"/>
  <c r="F110" i="20"/>
  <c r="G110" i="20"/>
  <c r="H110" i="20"/>
  <c r="I110" i="20"/>
  <c r="J110" i="20"/>
  <c r="K110" i="20"/>
  <c r="L110" i="20"/>
  <c r="M110" i="20"/>
  <c r="N110" i="20"/>
  <c r="O110" i="20"/>
  <c r="C111" i="20"/>
  <c r="D111" i="20"/>
  <c r="E111" i="20"/>
  <c r="F111" i="20"/>
  <c r="G111" i="20"/>
  <c r="H111" i="20"/>
  <c r="I111" i="20"/>
  <c r="J111" i="20"/>
  <c r="K111" i="20"/>
  <c r="L111" i="20"/>
  <c r="M111" i="20"/>
  <c r="N111" i="20"/>
  <c r="O111" i="20"/>
  <c r="C112" i="20"/>
  <c r="D112" i="20"/>
  <c r="E112" i="20"/>
  <c r="F112" i="20"/>
  <c r="G112" i="20"/>
  <c r="H112" i="20"/>
  <c r="I112" i="20"/>
  <c r="J112" i="20"/>
  <c r="K112" i="20"/>
  <c r="L112" i="20"/>
  <c r="M112" i="20"/>
  <c r="N112" i="20"/>
  <c r="C113" i="20"/>
  <c r="D113" i="20"/>
  <c r="E113" i="20"/>
  <c r="F113" i="20"/>
  <c r="G113" i="20"/>
  <c r="H113" i="20"/>
  <c r="I113" i="20"/>
  <c r="J113" i="20"/>
  <c r="K113" i="20"/>
  <c r="L113" i="20"/>
  <c r="M113" i="20"/>
  <c r="N113" i="20"/>
  <c r="C114" i="20"/>
  <c r="D114" i="20"/>
  <c r="E114" i="20"/>
  <c r="F114" i="20"/>
  <c r="G114" i="20"/>
  <c r="H114" i="20"/>
  <c r="I114" i="20"/>
  <c r="J114" i="20"/>
  <c r="K114" i="20"/>
  <c r="L114" i="20"/>
  <c r="M114" i="20"/>
  <c r="N114" i="20"/>
  <c r="C115" i="20"/>
  <c r="D115" i="20"/>
  <c r="E115" i="20"/>
  <c r="F115" i="20"/>
  <c r="G115" i="20"/>
  <c r="H115" i="20"/>
  <c r="I115" i="20"/>
  <c r="J115" i="20"/>
  <c r="K115" i="20"/>
  <c r="L115" i="20"/>
  <c r="M115" i="20"/>
  <c r="N115" i="20"/>
  <c r="C116" i="20"/>
  <c r="D116" i="20"/>
  <c r="E116" i="20"/>
  <c r="F116" i="20"/>
  <c r="G116" i="20"/>
  <c r="H116" i="20"/>
  <c r="I116" i="20"/>
  <c r="J116" i="20"/>
  <c r="K116" i="20"/>
  <c r="L116" i="20"/>
  <c r="M116" i="20"/>
  <c r="N116" i="20"/>
  <c r="C117" i="20"/>
  <c r="D117" i="20"/>
  <c r="E117" i="20"/>
  <c r="F117" i="20"/>
  <c r="G117" i="20"/>
  <c r="H117" i="20"/>
  <c r="I117" i="20"/>
  <c r="J117" i="20"/>
  <c r="K117" i="20"/>
  <c r="L117" i="20"/>
  <c r="M117" i="20"/>
  <c r="N117" i="20"/>
  <c r="C118" i="20"/>
  <c r="D118" i="20"/>
  <c r="E118" i="20"/>
  <c r="F118" i="20"/>
  <c r="G118" i="20"/>
  <c r="H118" i="20"/>
  <c r="I118" i="20"/>
  <c r="J118" i="20"/>
  <c r="K118" i="20"/>
  <c r="L118" i="20"/>
  <c r="M118" i="20"/>
  <c r="N118" i="20"/>
  <c r="O118" i="20"/>
  <c r="C119" i="20"/>
  <c r="D119" i="20"/>
  <c r="E119" i="20"/>
  <c r="F119" i="20"/>
  <c r="G119" i="20"/>
  <c r="H119" i="20"/>
  <c r="I119" i="20"/>
  <c r="J119" i="20"/>
  <c r="K119" i="20"/>
  <c r="L119" i="20"/>
  <c r="M119" i="20"/>
  <c r="N119" i="20"/>
  <c r="P49" i="20"/>
  <c r="P110" i="20" s="1"/>
  <c r="P50" i="20"/>
  <c r="Q50" i="20" s="1"/>
  <c r="Q111" i="20" s="1"/>
  <c r="O112" i="20"/>
  <c r="P51" i="20"/>
  <c r="O113" i="20"/>
  <c r="P52" i="20"/>
  <c r="Q52" i="20" s="1"/>
  <c r="P53" i="20"/>
  <c r="P114" i="20" s="1"/>
  <c r="O116" i="20"/>
  <c r="O117" i="20"/>
  <c r="P57" i="20"/>
  <c r="Q57" i="20" s="1"/>
  <c r="Q118" i="20" s="1"/>
  <c r="P58" i="20"/>
  <c r="P119" i="20" s="1"/>
  <c r="L26" i="26"/>
  <c r="K33" i="26"/>
  <c r="K40" i="26"/>
  <c r="L27" i="26"/>
  <c r="K34" i="26"/>
  <c r="K41" i="26"/>
  <c r="K29" i="26"/>
  <c r="J36" i="26"/>
  <c r="J43" i="26"/>
  <c r="K28" i="26"/>
  <c r="J35" i="26"/>
  <c r="J42" i="26"/>
  <c r="C3" i="25"/>
  <c r="D3" i="25"/>
  <c r="E3" i="25" s="1"/>
  <c r="F3" i="25" s="1"/>
  <c r="K45" i="26"/>
  <c r="L28" i="26"/>
  <c r="K35" i="26"/>
  <c r="K42" i="26"/>
  <c r="M27" i="26"/>
  <c r="L34" i="26"/>
  <c r="L41" i="26"/>
  <c r="L29" i="26"/>
  <c r="K36" i="26"/>
  <c r="K43" i="26"/>
  <c r="M26" i="26"/>
  <c r="L33" i="26"/>
  <c r="L40" i="26"/>
  <c r="L45" i="26"/>
  <c r="N26" i="26"/>
  <c r="M33" i="26"/>
  <c r="M40" i="26"/>
  <c r="N27" i="26"/>
  <c r="M34" i="26"/>
  <c r="M41" i="26"/>
  <c r="M29" i="26"/>
  <c r="L36" i="26"/>
  <c r="L43" i="26"/>
  <c r="M28" i="26"/>
  <c r="L35" i="26"/>
  <c r="L42" i="26"/>
  <c r="M45" i="26"/>
  <c r="N28" i="26"/>
  <c r="M35" i="26"/>
  <c r="M42" i="26"/>
  <c r="O27" i="26"/>
  <c r="N34" i="26"/>
  <c r="N41" i="26"/>
  <c r="N29" i="26"/>
  <c r="M36" i="26"/>
  <c r="M43" i="26"/>
  <c r="O26" i="26"/>
  <c r="N33" i="26"/>
  <c r="N40" i="26"/>
  <c r="N45" i="26"/>
  <c r="P26" i="26"/>
  <c r="O33" i="26"/>
  <c r="O40" i="26"/>
  <c r="P27" i="26"/>
  <c r="O34" i="26"/>
  <c r="O41" i="26"/>
  <c r="O29" i="26"/>
  <c r="N36" i="26"/>
  <c r="N43" i="26"/>
  <c r="O28" i="26"/>
  <c r="N35" i="26"/>
  <c r="N42" i="26"/>
  <c r="C40" i="20"/>
  <c r="D40" i="20"/>
  <c r="E40" i="20"/>
  <c r="F40" i="20"/>
  <c r="G40" i="20"/>
  <c r="H40" i="20"/>
  <c r="I40" i="20"/>
  <c r="J40" i="20"/>
  <c r="K40" i="20"/>
  <c r="L40" i="20" s="1"/>
  <c r="C12" i="19"/>
  <c r="D12" i="19"/>
  <c r="E12" i="19"/>
  <c r="F12" i="19"/>
  <c r="B12" i="19"/>
  <c r="O3" i="19"/>
  <c r="P3" i="19" s="1"/>
  <c r="Q3" i="19" s="1"/>
  <c r="B107" i="18"/>
  <c r="C107" i="18"/>
  <c r="D107" i="18"/>
  <c r="E107" i="18"/>
  <c r="F107" i="18"/>
  <c r="G107" i="18"/>
  <c r="H107" i="18"/>
  <c r="I107" i="18"/>
  <c r="J107" i="18"/>
  <c r="K107" i="18"/>
  <c r="L107" i="18"/>
  <c r="M107" i="18"/>
  <c r="N107" i="18"/>
  <c r="O107" i="18"/>
  <c r="P107" i="18"/>
  <c r="Q107" i="18"/>
  <c r="R107" i="18"/>
  <c r="S107" i="18"/>
  <c r="T107" i="18"/>
  <c r="U107" i="18"/>
  <c r="V107" i="18"/>
  <c r="W107" i="18"/>
  <c r="X107" i="18"/>
  <c r="Y107" i="18"/>
  <c r="Z107" i="18"/>
  <c r="AA107" i="18"/>
  <c r="AB107" i="18"/>
  <c r="AC107" i="18"/>
  <c r="AD107" i="18"/>
  <c r="AE107" i="18"/>
  <c r="AF107" i="18"/>
  <c r="AG107" i="18"/>
  <c r="AH107" i="18"/>
  <c r="AI107" i="18"/>
  <c r="AJ107" i="18"/>
  <c r="B97" i="18"/>
  <c r="C97" i="18"/>
  <c r="D97" i="18"/>
  <c r="E97" i="18"/>
  <c r="F97" i="18"/>
  <c r="G97" i="18"/>
  <c r="H97" i="18"/>
  <c r="I97" i="18"/>
  <c r="J97" i="18"/>
  <c r="K97" i="18"/>
  <c r="L97" i="18"/>
  <c r="M97" i="18"/>
  <c r="N97" i="18"/>
  <c r="O97" i="18"/>
  <c r="P97" i="18"/>
  <c r="Q97" i="18"/>
  <c r="R97" i="18"/>
  <c r="S97" i="18"/>
  <c r="T97" i="18"/>
  <c r="U97" i="18"/>
  <c r="V97" i="18"/>
  <c r="W97" i="18"/>
  <c r="X97" i="18"/>
  <c r="Y97" i="18"/>
  <c r="Z97" i="18"/>
  <c r="AA97" i="18"/>
  <c r="AB97" i="18"/>
  <c r="AC97" i="18"/>
  <c r="AD97" i="18"/>
  <c r="AE97" i="18"/>
  <c r="AF97" i="18"/>
  <c r="AG97" i="18"/>
  <c r="AH97" i="18"/>
  <c r="AI97" i="18"/>
  <c r="AJ97" i="18"/>
  <c r="C31" i="18"/>
  <c r="D31" i="18"/>
  <c r="E31" i="18"/>
  <c r="F31" i="18"/>
  <c r="G31" i="18"/>
  <c r="H31" i="18"/>
  <c r="I31" i="18"/>
  <c r="J31" i="18"/>
  <c r="K31" i="18"/>
  <c r="L31" i="18"/>
  <c r="M31" i="18"/>
  <c r="C32" i="18"/>
  <c r="D32" i="18"/>
  <c r="C33" i="18"/>
  <c r="D33" i="18"/>
  <c r="C30" i="18"/>
  <c r="D30" i="18"/>
  <c r="E30" i="18"/>
  <c r="B30" i="18"/>
  <c r="C29" i="18"/>
  <c r="D29" i="18"/>
  <c r="E29" i="18"/>
  <c r="F29" i="18"/>
  <c r="N8" i="18"/>
  <c r="O8" i="18" s="1"/>
  <c r="N7" i="18"/>
  <c r="E32" i="18" s="1"/>
  <c r="C3" i="16"/>
  <c r="C16" i="16"/>
  <c r="C18" i="16"/>
  <c r="C25" i="16"/>
  <c r="C26" i="16"/>
  <c r="C66" i="11"/>
  <c r="D66" i="11" s="1"/>
  <c r="E66" i="11" s="1"/>
  <c r="F66" i="11" s="1"/>
  <c r="G66" i="11" s="1"/>
  <c r="H66" i="11" s="1"/>
  <c r="I66" i="11" s="1"/>
  <c r="J66" i="11" s="1"/>
  <c r="G51" i="11"/>
  <c r="B45" i="11"/>
  <c r="C45" i="11"/>
  <c r="D45" i="11"/>
  <c r="E45" i="11"/>
  <c r="O45" i="26"/>
  <c r="P28" i="26"/>
  <c r="O35" i="26"/>
  <c r="O42" i="26"/>
  <c r="Q27" i="26"/>
  <c r="P34" i="26"/>
  <c r="P41" i="26"/>
  <c r="P29" i="26"/>
  <c r="O36" i="26"/>
  <c r="O43" i="26"/>
  <c r="Q26" i="26"/>
  <c r="P33" i="26"/>
  <c r="P40" i="26"/>
  <c r="P45" i="26"/>
  <c r="R16" i="16"/>
  <c r="R18" i="16"/>
  <c r="R25" i="16"/>
  <c r="R26" i="16"/>
  <c r="AK16" i="16"/>
  <c r="AK18" i="16"/>
  <c r="AK25" i="16"/>
  <c r="AK26" i="16"/>
  <c r="M16" i="16"/>
  <c r="M18" i="16"/>
  <c r="M25" i="16"/>
  <c r="M26" i="16"/>
  <c r="AH16" i="16"/>
  <c r="AH18" i="16"/>
  <c r="AH25" i="16"/>
  <c r="AH26" i="16"/>
  <c r="AC16" i="16"/>
  <c r="AC18" i="16"/>
  <c r="AC25" i="16"/>
  <c r="AC26" i="16"/>
  <c r="B101" i="18"/>
  <c r="U16" i="16"/>
  <c r="U18" i="16"/>
  <c r="U25" i="16"/>
  <c r="U26" i="16"/>
  <c r="Z16" i="16"/>
  <c r="Z18" i="16"/>
  <c r="Z25" i="16"/>
  <c r="Z26" i="16"/>
  <c r="J16" i="16"/>
  <c r="J18" i="16"/>
  <c r="J25" i="16"/>
  <c r="J26" i="16"/>
  <c r="O31" i="18"/>
  <c r="N31" i="18"/>
  <c r="AG16" i="16"/>
  <c r="AG18" i="16"/>
  <c r="AG25" i="16"/>
  <c r="AG26" i="16"/>
  <c r="Y16" i="16"/>
  <c r="Y18" i="16"/>
  <c r="Y25" i="16"/>
  <c r="Y26" i="16"/>
  <c r="Q16" i="16"/>
  <c r="Q18" i="16"/>
  <c r="Q25" i="16"/>
  <c r="Q26" i="16"/>
  <c r="I16" i="16"/>
  <c r="I18" i="16"/>
  <c r="I25" i="16"/>
  <c r="I26" i="16"/>
  <c r="B16" i="16"/>
  <c r="B18" i="16"/>
  <c r="B25" i="16"/>
  <c r="B26" i="16"/>
  <c r="AD16" i="16"/>
  <c r="AD18" i="16"/>
  <c r="AD25" i="16"/>
  <c r="AD26" i="16"/>
  <c r="V16" i="16"/>
  <c r="V18" i="16"/>
  <c r="V25" i="16"/>
  <c r="V26" i="16"/>
  <c r="N16" i="16"/>
  <c r="N18" i="16"/>
  <c r="N25" i="16"/>
  <c r="N26" i="16"/>
  <c r="F16" i="16"/>
  <c r="F18" i="16"/>
  <c r="F25" i="16"/>
  <c r="F26" i="16"/>
  <c r="E16" i="16"/>
  <c r="E18" i="16"/>
  <c r="E25" i="16"/>
  <c r="E26" i="16"/>
  <c r="AJ16" i="16"/>
  <c r="AJ18" i="16"/>
  <c r="AJ25" i="16"/>
  <c r="AJ26" i="16"/>
  <c r="AF16" i="16"/>
  <c r="AF18" i="16"/>
  <c r="AF25" i="16"/>
  <c r="AF26" i="16"/>
  <c r="AB16" i="16"/>
  <c r="AB18" i="16"/>
  <c r="AB25" i="16"/>
  <c r="AB26" i="16"/>
  <c r="X16" i="16"/>
  <c r="X18" i="16"/>
  <c r="X25" i="16"/>
  <c r="X26" i="16"/>
  <c r="T16" i="16"/>
  <c r="T18" i="16"/>
  <c r="T25" i="16"/>
  <c r="T26" i="16"/>
  <c r="P16" i="16"/>
  <c r="P18" i="16"/>
  <c r="P25" i="16"/>
  <c r="P26" i="16"/>
  <c r="L16" i="16"/>
  <c r="L18" i="16"/>
  <c r="L25" i="16"/>
  <c r="L26" i="16"/>
  <c r="H16" i="16"/>
  <c r="H18" i="16"/>
  <c r="H25" i="16"/>
  <c r="H26" i="16"/>
  <c r="D16" i="16"/>
  <c r="D18" i="16"/>
  <c r="D25" i="16"/>
  <c r="D26" i="16"/>
  <c r="AI16" i="16"/>
  <c r="AI18" i="16"/>
  <c r="AI25" i="16"/>
  <c r="AI26" i="16"/>
  <c r="AE16" i="16"/>
  <c r="AE18" i="16"/>
  <c r="AE25" i="16"/>
  <c r="AE26" i="16"/>
  <c r="AA16" i="16"/>
  <c r="AA18" i="16"/>
  <c r="AA25" i="16"/>
  <c r="AA26" i="16"/>
  <c r="W16" i="16"/>
  <c r="W18" i="16"/>
  <c r="W25" i="16"/>
  <c r="W26" i="16"/>
  <c r="S16" i="16"/>
  <c r="S18" i="16"/>
  <c r="S25" i="16"/>
  <c r="S26" i="16"/>
  <c r="O16" i="16"/>
  <c r="O18" i="16"/>
  <c r="O25" i="16"/>
  <c r="O26" i="16"/>
  <c r="K16" i="16"/>
  <c r="K18" i="16"/>
  <c r="K25" i="16"/>
  <c r="K26" i="16"/>
  <c r="G16" i="16"/>
  <c r="G18" i="16"/>
  <c r="G25" i="16"/>
  <c r="G26" i="16"/>
  <c r="R26" i="26"/>
  <c r="Q33" i="26"/>
  <c r="Q40" i="26"/>
  <c r="R27" i="26"/>
  <c r="Q34" i="26"/>
  <c r="Q41" i="26"/>
  <c r="Q29" i="26"/>
  <c r="P36" i="26"/>
  <c r="P43" i="26"/>
  <c r="Q28" i="26"/>
  <c r="P35" i="26"/>
  <c r="P42" i="26"/>
  <c r="Q45" i="26"/>
  <c r="R28" i="26"/>
  <c r="Q35" i="26"/>
  <c r="Q42" i="26"/>
  <c r="S27" i="26"/>
  <c r="R34" i="26"/>
  <c r="R41" i="26"/>
  <c r="R29" i="26"/>
  <c r="Q36" i="26"/>
  <c r="Q43" i="26"/>
  <c r="S26" i="26"/>
  <c r="R33" i="26"/>
  <c r="R40" i="26"/>
  <c r="R45" i="26"/>
  <c r="C33" i="6"/>
  <c r="D33" i="6"/>
  <c r="E33" i="6"/>
  <c r="F33" i="6"/>
  <c r="B33" i="6"/>
  <c r="G33" i="6" s="1"/>
  <c r="C28" i="6"/>
  <c r="D28" i="6"/>
  <c r="E28" i="6"/>
  <c r="F28" i="6"/>
  <c r="B29" i="6"/>
  <c r="C29" i="6"/>
  <c r="D29" i="6"/>
  <c r="E29" i="6"/>
  <c r="F29" i="6"/>
  <c r="B6" i="1"/>
  <c r="F11" i="1" s="1"/>
  <c r="F5" i="30" s="1"/>
  <c r="F4" i="30" s="1"/>
  <c r="B6" i="31" s="1"/>
  <c r="B28" i="30"/>
  <c r="E2" i="34" s="1"/>
  <c r="T26" i="26"/>
  <c r="S33" i="26"/>
  <c r="S40" i="26"/>
  <c r="T27" i="26"/>
  <c r="S34" i="26"/>
  <c r="S41" i="26"/>
  <c r="S29" i="26"/>
  <c r="R36" i="26"/>
  <c r="R43" i="26"/>
  <c r="S28" i="26"/>
  <c r="R35" i="26"/>
  <c r="R42" i="26"/>
  <c r="M11" i="1"/>
  <c r="M5" i="30" s="1"/>
  <c r="AG11" i="1"/>
  <c r="AG5" i="30" s="1"/>
  <c r="S45" i="26"/>
  <c r="T28" i="26"/>
  <c r="S35" i="26"/>
  <c r="S42" i="26"/>
  <c r="U27" i="26"/>
  <c r="T34" i="26"/>
  <c r="T41" i="26"/>
  <c r="T29" i="26"/>
  <c r="S36" i="26"/>
  <c r="S43" i="26"/>
  <c r="U26" i="26"/>
  <c r="T33" i="26"/>
  <c r="T40" i="26"/>
  <c r="T45" i="26"/>
  <c r="D28" i="30"/>
  <c r="E4" i="34"/>
  <c r="V26" i="26"/>
  <c r="U33" i="26"/>
  <c r="U40" i="26"/>
  <c r="V27" i="26"/>
  <c r="U34" i="26"/>
  <c r="U41" i="26"/>
  <c r="U29" i="26"/>
  <c r="T36" i="26"/>
  <c r="T43" i="26"/>
  <c r="U28" i="26"/>
  <c r="T35" i="26"/>
  <c r="T42" i="26"/>
  <c r="U45" i="26"/>
  <c r="V28" i="26"/>
  <c r="U35" i="26"/>
  <c r="U42" i="26"/>
  <c r="W27" i="26"/>
  <c r="V34" i="26"/>
  <c r="V41" i="26"/>
  <c r="V29" i="26"/>
  <c r="U36" i="26"/>
  <c r="U43" i="26"/>
  <c r="W26" i="26"/>
  <c r="V33" i="26"/>
  <c r="V40" i="26"/>
  <c r="V45" i="26"/>
  <c r="F28" i="30"/>
  <c r="E6" i="34" s="1"/>
  <c r="X26" i="26"/>
  <c r="W33" i="26"/>
  <c r="W40" i="26"/>
  <c r="X27" i="26"/>
  <c r="W34" i="26"/>
  <c r="W41" i="26"/>
  <c r="W29" i="26"/>
  <c r="V36" i="26"/>
  <c r="V43" i="26"/>
  <c r="W28" i="26"/>
  <c r="V35" i="26"/>
  <c r="V42" i="26"/>
  <c r="W45" i="26"/>
  <c r="X28" i="26"/>
  <c r="W35" i="26"/>
  <c r="W42" i="26"/>
  <c r="Y27" i="26"/>
  <c r="X34" i="26"/>
  <c r="X41" i="26"/>
  <c r="X29" i="26"/>
  <c r="W36" i="26"/>
  <c r="W43" i="26"/>
  <c r="Y26" i="26"/>
  <c r="X33" i="26"/>
  <c r="X40" i="26"/>
  <c r="X45" i="26"/>
  <c r="H28" i="30"/>
  <c r="E8" i="34" s="1"/>
  <c r="Z26" i="26"/>
  <c r="Y33" i="26"/>
  <c r="Y40" i="26"/>
  <c r="Z27" i="26"/>
  <c r="Y34" i="26"/>
  <c r="Y41" i="26"/>
  <c r="Y29" i="26"/>
  <c r="X36" i="26"/>
  <c r="X43" i="26"/>
  <c r="Y28" i="26"/>
  <c r="X35" i="26"/>
  <c r="X42" i="26"/>
  <c r="I28" i="30"/>
  <c r="E9" i="34" s="1"/>
  <c r="Y45" i="26"/>
  <c r="Z28" i="26"/>
  <c r="Y35" i="26"/>
  <c r="Y42" i="26"/>
  <c r="AA27" i="26"/>
  <c r="Z34" i="26"/>
  <c r="Z41" i="26"/>
  <c r="Z29" i="26"/>
  <c r="Y36" i="26"/>
  <c r="Y43" i="26"/>
  <c r="AA26" i="26"/>
  <c r="Z33" i="26"/>
  <c r="Z40" i="26"/>
  <c r="Z45" i="26"/>
  <c r="AB26" i="26"/>
  <c r="AA33" i="26"/>
  <c r="AA40" i="26"/>
  <c r="AB27" i="26"/>
  <c r="AA34" i="26"/>
  <c r="AA41" i="26"/>
  <c r="AA29" i="26"/>
  <c r="Z36" i="26"/>
  <c r="Z43" i="26"/>
  <c r="AA28" i="26"/>
  <c r="Z35" i="26"/>
  <c r="Z42" i="26"/>
  <c r="AA45" i="26"/>
  <c r="AB28" i="26"/>
  <c r="AA35" i="26"/>
  <c r="AA42" i="26"/>
  <c r="AC27" i="26"/>
  <c r="AB34" i="26"/>
  <c r="AB41" i="26"/>
  <c r="AB29" i="26"/>
  <c r="AA36" i="26"/>
  <c r="AA43" i="26"/>
  <c r="AC26" i="26"/>
  <c r="AB33" i="26"/>
  <c r="AB40" i="26"/>
  <c r="AB45" i="26"/>
  <c r="L28" i="30"/>
  <c r="E12" i="34" s="1"/>
  <c r="AD26" i="26"/>
  <c r="AC33" i="26"/>
  <c r="AC40" i="26"/>
  <c r="AD27" i="26"/>
  <c r="AC34" i="26"/>
  <c r="AC41" i="26"/>
  <c r="AC29" i="26"/>
  <c r="AB36" i="26"/>
  <c r="AB43" i="26"/>
  <c r="AC28" i="26"/>
  <c r="AB35" i="26"/>
  <c r="AB42" i="26"/>
  <c r="AC45" i="26"/>
  <c r="AD28" i="26"/>
  <c r="AC35" i="26"/>
  <c r="AC42" i="26"/>
  <c r="AE27" i="26"/>
  <c r="AD34" i="26"/>
  <c r="AD41" i="26"/>
  <c r="AD29" i="26"/>
  <c r="AC36" i="26"/>
  <c r="AC43" i="26"/>
  <c r="AE26" i="26"/>
  <c r="AD33" i="26"/>
  <c r="AD40" i="26"/>
  <c r="AD45" i="26"/>
  <c r="AF26" i="26"/>
  <c r="AE33" i="26"/>
  <c r="AE40" i="26"/>
  <c r="AF27" i="26"/>
  <c r="AE34" i="26"/>
  <c r="AE41" i="26"/>
  <c r="AE29" i="26"/>
  <c r="AD36" i="26"/>
  <c r="AD43" i="26"/>
  <c r="AE28" i="26"/>
  <c r="AD35" i="26"/>
  <c r="AD42" i="26"/>
  <c r="AE45" i="26"/>
  <c r="AF28" i="26"/>
  <c r="AE35" i="26"/>
  <c r="AE42" i="26"/>
  <c r="AG27" i="26"/>
  <c r="AF34" i="26"/>
  <c r="AF41" i="26"/>
  <c r="AF29" i="26"/>
  <c r="AE36" i="26"/>
  <c r="AE43" i="26"/>
  <c r="AG26" i="26"/>
  <c r="AF33" i="26"/>
  <c r="AF40" i="26"/>
  <c r="AF45" i="26"/>
  <c r="P28" i="30"/>
  <c r="E16" i="34" s="1"/>
  <c r="AH26" i="26"/>
  <c r="AG33" i="26"/>
  <c r="AG40" i="26"/>
  <c r="AH27" i="26"/>
  <c r="AG34" i="26"/>
  <c r="AG41" i="26"/>
  <c r="AG29" i="26"/>
  <c r="AF36" i="26"/>
  <c r="AF43" i="26"/>
  <c r="AG28" i="26"/>
  <c r="AF35" i="26"/>
  <c r="AF42" i="26"/>
  <c r="AG45" i="26"/>
  <c r="AH28" i="26"/>
  <c r="AG35" i="26"/>
  <c r="AG42" i="26"/>
  <c r="AI27" i="26"/>
  <c r="AH34" i="26"/>
  <c r="AH41" i="26"/>
  <c r="AH29" i="26"/>
  <c r="AG36" i="26"/>
  <c r="AG43" i="26"/>
  <c r="AI26" i="26"/>
  <c r="AH33" i="26"/>
  <c r="AH40" i="26"/>
  <c r="AH45" i="26"/>
  <c r="AJ26" i="26"/>
  <c r="AI33" i="26"/>
  <c r="AI40" i="26"/>
  <c r="AJ27" i="26"/>
  <c r="AI34" i="26"/>
  <c r="AI41" i="26"/>
  <c r="AI29" i="26"/>
  <c r="AH36" i="26"/>
  <c r="AH43" i="26"/>
  <c r="AI28" i="26"/>
  <c r="AH35" i="26"/>
  <c r="AH42" i="26"/>
  <c r="AI45" i="26"/>
  <c r="AJ28" i="26"/>
  <c r="AI35" i="26"/>
  <c r="AI42" i="26"/>
  <c r="AK27" i="26"/>
  <c r="AK34" i="26"/>
  <c r="AK41" i="26"/>
  <c r="AJ34" i="26"/>
  <c r="AJ41" i="26"/>
  <c r="AJ29" i="26"/>
  <c r="AI36" i="26"/>
  <c r="AI43" i="26"/>
  <c r="AK26" i="26"/>
  <c r="AK33" i="26"/>
  <c r="AK40" i="26"/>
  <c r="AJ33" i="26"/>
  <c r="AJ40" i="26"/>
  <c r="AJ45" i="26"/>
  <c r="T28" i="30"/>
  <c r="E20" i="34"/>
  <c r="AK45" i="26"/>
  <c r="AK29" i="26"/>
  <c r="AK36" i="26"/>
  <c r="AK43" i="26"/>
  <c r="AJ36" i="26"/>
  <c r="AJ43" i="26"/>
  <c r="AK28" i="26"/>
  <c r="AK35" i="26"/>
  <c r="AK42" i="26"/>
  <c r="AJ35" i="26"/>
  <c r="AJ42" i="26"/>
  <c r="U28" i="30"/>
  <c r="E21" i="34" s="1"/>
  <c r="V28" i="30"/>
  <c r="E22" i="34" s="1"/>
  <c r="X28" i="30"/>
  <c r="E24" i="34" s="1"/>
  <c r="Y28" i="30"/>
  <c r="E25" i="34" s="1"/>
  <c r="AB28" i="30"/>
  <c r="E28" i="34" s="1"/>
  <c r="AD28" i="30"/>
  <c r="E30" i="34" s="1"/>
  <c r="AF28" i="30"/>
  <c r="E32" i="34" s="1"/>
  <c r="AG28" i="30"/>
  <c r="E33" i="34" s="1"/>
  <c r="AJ28" i="30"/>
  <c r="E36" i="34" s="1"/>
  <c r="O4" i="43" l="1"/>
  <c r="AI29" i="30"/>
  <c r="E35" i="31" s="1"/>
  <c r="B4" i="30"/>
  <c r="B2" i="31" s="1"/>
  <c r="H72" i="11"/>
  <c r="X72" i="11"/>
  <c r="M73" i="11"/>
  <c r="AC73" i="11"/>
  <c r="Q32" i="30"/>
  <c r="Q29" i="30" s="1"/>
  <c r="E17" i="31" s="1"/>
  <c r="AH21" i="30"/>
  <c r="Z32" i="30"/>
  <c r="Z29" i="30" s="1"/>
  <c r="E26" i="31" s="1"/>
  <c r="AG32" i="30"/>
  <c r="AG29" i="30" s="1"/>
  <c r="E33" i="31" s="1"/>
  <c r="P32" i="30"/>
  <c r="P29" i="30" s="1"/>
  <c r="E16" i="31" s="1"/>
  <c r="O32" i="30"/>
  <c r="O29" i="30" s="1"/>
  <c r="E15" i="31" s="1"/>
  <c r="AF32" i="30"/>
  <c r="AF29" i="30" s="1"/>
  <c r="E32" i="31" s="1"/>
  <c r="C21" i="30"/>
  <c r="C19" i="30" s="1"/>
  <c r="D3" i="31" s="1"/>
  <c r="B21" i="30"/>
  <c r="B19" i="30" s="1"/>
  <c r="D2" i="31" s="1"/>
  <c r="X21" i="30"/>
  <c r="H21" i="30"/>
  <c r="H19" i="30" s="1"/>
  <c r="D8" i="31" s="1"/>
  <c r="AD21" i="30"/>
  <c r="AD19" i="30" s="1"/>
  <c r="D30" i="31" s="1"/>
  <c r="N21" i="30"/>
  <c r="AC21" i="30"/>
  <c r="AC19" i="30" s="1"/>
  <c r="D29" i="31" s="1"/>
  <c r="I21" i="30"/>
  <c r="I19" i="30" s="1"/>
  <c r="D9" i="31" s="1"/>
  <c r="AA21" i="30"/>
  <c r="AA19" i="30" s="1"/>
  <c r="D27" i="31" s="1"/>
  <c r="K21" i="30"/>
  <c r="K19" i="30" s="1"/>
  <c r="D11" i="31" s="1"/>
  <c r="AJ21" i="30"/>
  <c r="AJ19" i="30" s="1"/>
  <c r="D36" i="31" s="1"/>
  <c r="T21" i="30"/>
  <c r="T19" i="30" s="1"/>
  <c r="D20" i="31" s="1"/>
  <c r="D21" i="30"/>
  <c r="D19" i="30" s="1"/>
  <c r="D4" i="31" s="1"/>
  <c r="Z21" i="30"/>
  <c r="Z19" i="30" s="1"/>
  <c r="D26" i="31" s="1"/>
  <c r="J21" i="30"/>
  <c r="Y21" i="30"/>
  <c r="Y19" i="30" s="1"/>
  <c r="D25" i="31" s="1"/>
  <c r="E21" i="30"/>
  <c r="E19" i="30" s="1"/>
  <c r="D5" i="31" s="1"/>
  <c r="W21" i="30"/>
  <c r="W19" i="30" s="1"/>
  <c r="D23" i="31" s="1"/>
  <c r="G21" i="30"/>
  <c r="G19" i="30" s="1"/>
  <c r="D7" i="31" s="1"/>
  <c r="AF21" i="30"/>
  <c r="AF19" i="30" s="1"/>
  <c r="D32" i="31" s="1"/>
  <c r="P21" i="30"/>
  <c r="P19" i="30" s="1"/>
  <c r="D16" i="31" s="1"/>
  <c r="V21" i="30"/>
  <c r="V19" i="30" s="1"/>
  <c r="D22" i="31" s="1"/>
  <c r="F21" i="30"/>
  <c r="Q21" i="30"/>
  <c r="Q19" i="30" s="1"/>
  <c r="D17" i="31" s="1"/>
  <c r="AI21" i="30"/>
  <c r="AI19" i="30" s="1"/>
  <c r="D35" i="31" s="1"/>
  <c r="S21" i="30"/>
  <c r="S19" i="30" s="1"/>
  <c r="D19" i="31" s="1"/>
  <c r="O21" i="30"/>
  <c r="M21" i="30"/>
  <c r="M19" i="30" s="1"/>
  <c r="D13" i="31" s="1"/>
  <c r="R21" i="30"/>
  <c r="R19" i="30" s="1"/>
  <c r="D18" i="31" s="1"/>
  <c r="L21" i="30"/>
  <c r="U21" i="30"/>
  <c r="U19" i="30" s="1"/>
  <c r="D21" i="31" s="1"/>
  <c r="U32" i="30"/>
  <c r="U29" i="30" s="1"/>
  <c r="E21" i="31" s="1"/>
  <c r="B32" i="30"/>
  <c r="B29" i="30" s="1"/>
  <c r="E2" i="31" s="1"/>
  <c r="C32" i="30"/>
  <c r="C29" i="30" s="1"/>
  <c r="E3" i="31" s="1"/>
  <c r="S32" i="30"/>
  <c r="S29" i="30" s="1"/>
  <c r="E19" i="31" s="1"/>
  <c r="D32" i="30"/>
  <c r="D29" i="30" s="1"/>
  <c r="E4" i="31" s="1"/>
  <c r="T32" i="30"/>
  <c r="T29" i="30" s="1"/>
  <c r="E20" i="31" s="1"/>
  <c r="AJ32" i="30"/>
  <c r="AJ29" i="30" s="1"/>
  <c r="E36" i="31" s="1"/>
  <c r="N32" i="30"/>
  <c r="N29" i="30" s="1"/>
  <c r="E14" i="31" s="1"/>
  <c r="AD32" i="30"/>
  <c r="AD29" i="30" s="1"/>
  <c r="E30" i="31" s="1"/>
  <c r="AA32" i="30"/>
  <c r="AA29" i="30" s="1"/>
  <c r="E27" i="31" s="1"/>
  <c r="AE19" i="30"/>
  <c r="D31" i="31" s="1"/>
  <c r="O19" i="30"/>
  <c r="D15" i="31" s="1"/>
  <c r="E32" i="30"/>
  <c r="E29" i="30" s="1"/>
  <c r="E5" i="31" s="1"/>
  <c r="I32" i="30"/>
  <c r="I29" i="30" s="1"/>
  <c r="E9" i="31" s="1"/>
  <c r="Y32" i="30"/>
  <c r="Y29" i="30" s="1"/>
  <c r="E25" i="31" s="1"/>
  <c r="G32" i="30"/>
  <c r="G29" i="30" s="1"/>
  <c r="E7" i="31" s="1"/>
  <c r="W32" i="30"/>
  <c r="W29" i="30" s="1"/>
  <c r="E23" i="31" s="1"/>
  <c r="H32" i="30"/>
  <c r="H29" i="30" s="1"/>
  <c r="E8" i="31" s="1"/>
  <c r="X32" i="30"/>
  <c r="X29" i="30" s="1"/>
  <c r="E24" i="31" s="1"/>
  <c r="R32" i="30"/>
  <c r="R29" i="30" s="1"/>
  <c r="E18" i="31" s="1"/>
  <c r="AH32" i="30"/>
  <c r="AH29" i="30" s="1"/>
  <c r="E34" i="31" s="1"/>
  <c r="AH19" i="30"/>
  <c r="D34" i="31" s="1"/>
  <c r="N19" i="30"/>
  <c r="D14" i="31" s="1"/>
  <c r="J19" i="30"/>
  <c r="D10" i="31" s="1"/>
  <c r="F19" i="30"/>
  <c r="D6" i="31" s="1"/>
  <c r="M32" i="30"/>
  <c r="M29" i="30" s="1"/>
  <c r="E13" i="31" s="1"/>
  <c r="AC32" i="30"/>
  <c r="AC29" i="30" s="1"/>
  <c r="E29" i="31" s="1"/>
  <c r="K32" i="30"/>
  <c r="K29" i="30" s="1"/>
  <c r="E11" i="31" s="1"/>
  <c r="AE32" i="30"/>
  <c r="AE29" i="30" s="1"/>
  <c r="E31" i="31" s="1"/>
  <c r="L32" i="30"/>
  <c r="L29" i="30" s="1"/>
  <c r="E12" i="31" s="1"/>
  <c r="AB32" i="30"/>
  <c r="AB29" i="30" s="1"/>
  <c r="E28" i="31" s="1"/>
  <c r="F32" i="30"/>
  <c r="F29" i="30" s="1"/>
  <c r="E6" i="31" s="1"/>
  <c r="AG19" i="30"/>
  <c r="D33" i="31" s="1"/>
  <c r="V29" i="30"/>
  <c r="E22" i="31" s="1"/>
  <c r="J29" i="30"/>
  <c r="E10" i="31" s="1"/>
  <c r="AI28" i="30"/>
  <c r="E35" i="34" s="1"/>
  <c r="AE28" i="30"/>
  <c r="E31" i="34" s="1"/>
  <c r="AA28" i="30"/>
  <c r="E27" i="34" s="1"/>
  <c r="S28" i="30"/>
  <c r="E19" i="34" s="1"/>
  <c r="O28" i="30"/>
  <c r="E15" i="34" s="1"/>
  <c r="G28" i="30"/>
  <c r="E7" i="34" s="1"/>
  <c r="C28" i="30"/>
  <c r="E3" i="34" s="1"/>
  <c r="AB19" i="30"/>
  <c r="D28" i="31" s="1"/>
  <c r="X19" i="30"/>
  <c r="D24" i="31" s="1"/>
  <c r="L19" i="30"/>
  <c r="D12" i="31" s="1"/>
  <c r="AH28" i="30"/>
  <c r="E34" i="34" s="1"/>
  <c r="Z28" i="30"/>
  <c r="E26" i="34" s="1"/>
  <c r="R28" i="30"/>
  <c r="E18" i="34" s="1"/>
  <c r="N28" i="30"/>
  <c r="E14" i="34" s="1"/>
  <c r="J28" i="30"/>
  <c r="E10" i="34" s="1"/>
  <c r="AC4" i="30"/>
  <c r="B29" i="31" s="1"/>
  <c r="I4" i="30"/>
  <c r="B9" i="31" s="1"/>
  <c r="E4" i="30"/>
  <c r="B5" i="31" s="1"/>
  <c r="Y4" i="30"/>
  <c r="B25" i="31" s="1"/>
  <c r="AG4" i="30"/>
  <c r="B33" i="31" s="1"/>
  <c r="U4" i="30"/>
  <c r="B21" i="31" s="1"/>
  <c r="M4" i="30"/>
  <c r="B13" i="31" s="1"/>
  <c r="Q4" i="30"/>
  <c r="B17" i="31" s="1"/>
  <c r="B55" i="30"/>
  <c r="H75" i="28"/>
  <c r="H47" i="30" s="1"/>
  <c r="E75" i="28"/>
  <c r="E47" i="30" s="1"/>
  <c r="D75" i="28"/>
  <c r="D47" i="30" s="1"/>
  <c r="G75" i="28"/>
  <c r="G47" i="30" s="1"/>
  <c r="K75" i="28"/>
  <c r="K47" i="30" s="1"/>
  <c r="C75" i="28"/>
  <c r="C47" i="30" s="1"/>
  <c r="P75" i="28"/>
  <c r="P47" i="30" s="1"/>
  <c r="Q75" i="28"/>
  <c r="Q47" i="30" s="1"/>
  <c r="B51" i="30"/>
  <c r="C22" i="28"/>
  <c r="B52" i="30"/>
  <c r="AC12" i="28"/>
  <c r="AC50" i="30" s="1"/>
  <c r="Y12" i="28"/>
  <c r="Y50" i="30" s="1"/>
  <c r="M12" i="28"/>
  <c r="M50" i="30" s="1"/>
  <c r="I75" i="28"/>
  <c r="I47" i="30" s="1"/>
  <c r="I12" i="28"/>
  <c r="I50" i="30" s="1"/>
  <c r="Q12" i="28"/>
  <c r="Q50" i="30" s="1"/>
  <c r="U12" i="28"/>
  <c r="U50" i="30" s="1"/>
  <c r="AH12" i="28"/>
  <c r="AH50" i="30" s="1"/>
  <c r="AD12" i="28"/>
  <c r="AD50" i="30" s="1"/>
  <c r="Z12" i="28"/>
  <c r="Z50" i="30" s="1"/>
  <c r="V12" i="28"/>
  <c r="V50" i="30" s="1"/>
  <c r="V75" i="28"/>
  <c r="V47" i="30" s="1"/>
  <c r="R12" i="28"/>
  <c r="R50" i="30" s="1"/>
  <c r="N12" i="28"/>
  <c r="N50" i="30" s="1"/>
  <c r="N75" i="28"/>
  <c r="N47" i="30" s="1"/>
  <c r="J12" i="28"/>
  <c r="J50" i="30" s="1"/>
  <c r="F12" i="28"/>
  <c r="F50" i="30" s="1"/>
  <c r="F75" i="28"/>
  <c r="F47" i="30" s="1"/>
  <c r="B12" i="28"/>
  <c r="B50" i="30" s="1"/>
  <c r="B75" i="28"/>
  <c r="B47" i="30" s="1"/>
  <c r="D9" i="27"/>
  <c r="V11" i="27"/>
  <c r="AF11" i="27"/>
  <c r="X11" i="27"/>
  <c r="S11" i="27"/>
  <c r="L11" i="27"/>
  <c r="AJ11" i="27"/>
  <c r="AE11" i="27"/>
  <c r="W11" i="27"/>
  <c r="K11" i="27"/>
  <c r="D11" i="27"/>
  <c r="Z11" i="27"/>
  <c r="E11" i="27"/>
  <c r="AI11" i="27"/>
  <c r="AB11" i="27"/>
  <c r="P11" i="27"/>
  <c r="H11" i="27"/>
  <c r="C11" i="27"/>
  <c r="B13" i="27"/>
  <c r="B49" i="30" s="1"/>
  <c r="AA11" i="27"/>
  <c r="T11" i="27"/>
  <c r="O11" i="27"/>
  <c r="L123" i="20"/>
  <c r="H123" i="20"/>
  <c r="D123" i="20"/>
  <c r="C123" i="20"/>
  <c r="C61" i="30" s="1"/>
  <c r="I123" i="20"/>
  <c r="E123" i="20"/>
  <c r="M123" i="20"/>
  <c r="J123" i="20"/>
  <c r="F123" i="20"/>
  <c r="K123" i="20"/>
  <c r="G123" i="20"/>
  <c r="G61" i="30" s="1"/>
  <c r="R50" i="20"/>
  <c r="S50" i="20" s="1"/>
  <c r="M40" i="20"/>
  <c r="N40" i="20" s="1"/>
  <c r="O40" i="20" s="1"/>
  <c r="P40" i="20" s="1"/>
  <c r="Q40" i="20" s="1"/>
  <c r="C44" i="20"/>
  <c r="P118" i="20"/>
  <c r="Q53" i="20"/>
  <c r="Q114" i="20" s="1"/>
  <c r="Q58" i="20"/>
  <c r="R58" i="20" s="1"/>
  <c r="R119" i="20" s="1"/>
  <c r="Q113" i="20"/>
  <c r="R52" i="20"/>
  <c r="R113" i="20" s="1"/>
  <c r="P113" i="20"/>
  <c r="R57" i="20"/>
  <c r="O115" i="20"/>
  <c r="P54" i="20"/>
  <c r="Q51" i="20"/>
  <c r="P112" i="20"/>
  <c r="O114" i="20"/>
  <c r="P56" i="20"/>
  <c r="P55" i="20"/>
  <c r="Q49" i="20"/>
  <c r="B61" i="30"/>
  <c r="P111" i="20"/>
  <c r="F16" i="19"/>
  <c r="F63" i="30" s="1"/>
  <c r="E16" i="19"/>
  <c r="E63" i="30" s="1"/>
  <c r="D16" i="19"/>
  <c r="D63" i="30" s="1"/>
  <c r="M16" i="19"/>
  <c r="M63" i="30" s="1"/>
  <c r="I16" i="19"/>
  <c r="I63" i="30" s="1"/>
  <c r="N16" i="19"/>
  <c r="N63" i="30" s="1"/>
  <c r="L16" i="19"/>
  <c r="L63" i="30" s="1"/>
  <c r="H16" i="19"/>
  <c r="H63" i="30" s="1"/>
  <c r="K16" i="19"/>
  <c r="K63" i="30" s="1"/>
  <c r="G16" i="19"/>
  <c r="G63" i="30" s="1"/>
  <c r="C16" i="19"/>
  <c r="C63" i="30" s="1"/>
  <c r="B63" i="30"/>
  <c r="J16" i="19"/>
  <c r="J63" i="30" s="1"/>
  <c r="R3" i="19"/>
  <c r="P16" i="19"/>
  <c r="P63" i="30" s="1"/>
  <c r="O16" i="19"/>
  <c r="O63" i="30" s="1"/>
  <c r="G66" i="18"/>
  <c r="M96" i="18" s="1"/>
  <c r="G65" i="18"/>
  <c r="D95" i="18" s="1"/>
  <c r="G64" i="18"/>
  <c r="C94" i="18" s="1"/>
  <c r="G76" i="18"/>
  <c r="O106" i="18" s="1"/>
  <c r="G72" i="18"/>
  <c r="D102" i="18" s="1"/>
  <c r="G75" i="18"/>
  <c r="D105" i="18" s="1"/>
  <c r="G74" i="18"/>
  <c r="D104" i="18" s="1"/>
  <c r="E33" i="18"/>
  <c r="D64" i="30" s="1"/>
  <c r="G62" i="18"/>
  <c r="F92" i="18" s="1"/>
  <c r="B94" i="18"/>
  <c r="C101" i="18"/>
  <c r="L106" i="18"/>
  <c r="O7" i="18"/>
  <c r="E104" i="18" s="1"/>
  <c r="P8" i="18"/>
  <c r="F33" i="18"/>
  <c r="D144" i="20"/>
  <c r="C65" i="30"/>
  <c r="B65" i="30"/>
  <c r="G29" i="18"/>
  <c r="B29" i="18"/>
  <c r="G30" i="18"/>
  <c r="F30" i="18"/>
  <c r="C64" i="30"/>
  <c r="Q31" i="18"/>
  <c r="P31" i="18"/>
  <c r="B64" i="30"/>
  <c r="P106" i="18"/>
  <c r="B7" i="25"/>
  <c r="G3" i="25"/>
  <c r="H3" i="25" s="1"/>
  <c r="B75" i="30"/>
  <c r="C4" i="24"/>
  <c r="C79" i="30" s="1"/>
  <c r="H12" i="23"/>
  <c r="B78" i="30" s="1"/>
  <c r="E2" i="33"/>
  <c r="Y19" i="23"/>
  <c r="Y77" i="30" s="1"/>
  <c r="AB19" i="23"/>
  <c r="AB77" i="30" s="1"/>
  <c r="AA19" i="23"/>
  <c r="AA77" i="30" s="1"/>
  <c r="B77" i="30"/>
  <c r="B71" i="30" s="1"/>
  <c r="I2" i="34" s="1"/>
  <c r="N19" i="23"/>
  <c r="N77" i="30" s="1"/>
  <c r="J19" i="23"/>
  <c r="J77" i="30" s="1"/>
  <c r="X19" i="23"/>
  <c r="X77" i="30" s="1"/>
  <c r="O19" i="23"/>
  <c r="O77" i="30" s="1"/>
  <c r="M19" i="23"/>
  <c r="M77" i="30" s="1"/>
  <c r="AH19" i="23"/>
  <c r="AH77" i="30" s="1"/>
  <c r="L19" i="23"/>
  <c r="L77" i="30" s="1"/>
  <c r="Q19" i="23"/>
  <c r="Q77" i="30" s="1"/>
  <c r="AE19" i="23"/>
  <c r="AE77" i="30" s="1"/>
  <c r="D19" i="23"/>
  <c r="D77" i="30" s="1"/>
  <c r="V19" i="23"/>
  <c r="V77" i="30" s="1"/>
  <c r="H19" i="23"/>
  <c r="H77" i="30" s="1"/>
  <c r="F19" i="23"/>
  <c r="F77" i="30" s="1"/>
  <c r="U19" i="23"/>
  <c r="U77" i="30" s="1"/>
  <c r="H13" i="23"/>
  <c r="S19" i="23"/>
  <c r="S77" i="30" s="1"/>
  <c r="AI19" i="23"/>
  <c r="AI77" i="30" s="1"/>
  <c r="P19" i="23"/>
  <c r="P77" i="30" s="1"/>
  <c r="AF19" i="23"/>
  <c r="AF77" i="30" s="1"/>
  <c r="K19" i="23"/>
  <c r="K77" i="30" s="1"/>
  <c r="Z19" i="23"/>
  <c r="Z77" i="30" s="1"/>
  <c r="G19" i="23"/>
  <c r="G77" i="30" s="1"/>
  <c r="I19" i="23"/>
  <c r="I77" i="30" s="1"/>
  <c r="AD19" i="23"/>
  <c r="AD77" i="30" s="1"/>
  <c r="W19" i="23"/>
  <c r="W77" i="30" s="1"/>
  <c r="E19" i="23"/>
  <c r="E77" i="30" s="1"/>
  <c r="T19" i="23"/>
  <c r="T77" i="30" s="1"/>
  <c r="AJ19" i="23"/>
  <c r="AJ77" i="30" s="1"/>
  <c r="C19" i="23"/>
  <c r="C77" i="30" s="1"/>
  <c r="R19" i="23"/>
  <c r="R77" i="30" s="1"/>
  <c r="AG19" i="23"/>
  <c r="AG77" i="30" s="1"/>
  <c r="AC19" i="23"/>
  <c r="AC77" i="30" s="1"/>
  <c r="B52" i="11"/>
  <c r="B53" i="11"/>
  <c r="C53" i="11"/>
  <c r="C52" i="11"/>
  <c r="E53" i="11"/>
  <c r="E52" i="11"/>
  <c r="D53" i="11"/>
  <c r="D52" i="11"/>
  <c r="G29" i="6"/>
  <c r="G50" i="11"/>
  <c r="G49" i="11"/>
  <c r="D99" i="8"/>
  <c r="D100" i="8" s="1"/>
  <c r="D101" i="8" s="1"/>
  <c r="AB163" i="8"/>
  <c r="AB164" i="8" s="1"/>
  <c r="Y163" i="8"/>
  <c r="Y164" i="8" s="1"/>
  <c r="AA163" i="8"/>
  <c r="AA164" i="8" s="1"/>
  <c r="P163" i="8"/>
  <c r="P164" i="8" s="1"/>
  <c r="AF163" i="8"/>
  <c r="AF164" i="8" s="1"/>
  <c r="M163" i="8"/>
  <c r="M164" i="8" s="1"/>
  <c r="AC163" i="8"/>
  <c r="AC164" i="8" s="1"/>
  <c r="J163" i="8"/>
  <c r="J164" i="8"/>
  <c r="Z163" i="8"/>
  <c r="Z164" i="8" s="1"/>
  <c r="K163" i="8"/>
  <c r="K164" i="8" s="1"/>
  <c r="AE163" i="8"/>
  <c r="AE164" i="8" s="1"/>
  <c r="V163" i="8"/>
  <c r="V164" i="8"/>
  <c r="D163" i="8"/>
  <c r="D164" i="8" s="1"/>
  <c r="T163" i="8"/>
  <c r="T164" i="8" s="1"/>
  <c r="AJ163" i="8"/>
  <c r="AJ164" i="8" s="1"/>
  <c r="Q163" i="8"/>
  <c r="Q164" i="8" s="1"/>
  <c r="AG163" i="8"/>
  <c r="AG164" i="8" s="1"/>
  <c r="N163" i="8"/>
  <c r="N164" i="8" s="1"/>
  <c r="AD163" i="8"/>
  <c r="AD164" i="8"/>
  <c r="O163" i="8"/>
  <c r="O164" i="8" s="1"/>
  <c r="S163" i="8"/>
  <c r="S164" i="8"/>
  <c r="L163" i="8"/>
  <c r="L164" i="8" s="1"/>
  <c r="I163" i="8"/>
  <c r="I164" i="8" s="1"/>
  <c r="F163" i="8"/>
  <c r="F164" i="8"/>
  <c r="G163" i="8"/>
  <c r="G164" i="8" s="1"/>
  <c r="H163" i="8"/>
  <c r="H164" i="8" s="1"/>
  <c r="X163" i="8"/>
  <c r="X164" i="8" s="1"/>
  <c r="E163" i="8"/>
  <c r="E164" i="8" s="1"/>
  <c r="U163" i="8"/>
  <c r="U164" i="8" s="1"/>
  <c r="AK163" i="8"/>
  <c r="AK164" i="8" s="1"/>
  <c r="R163" i="8"/>
  <c r="R164" i="8" s="1"/>
  <c r="AH163" i="8"/>
  <c r="AH164" i="8"/>
  <c r="W163" i="8"/>
  <c r="W164" i="8" s="1"/>
  <c r="AI163" i="8"/>
  <c r="AI164" i="8" s="1"/>
  <c r="E99" i="8"/>
  <c r="F103" i="8"/>
  <c r="E76" i="8"/>
  <c r="F82" i="8"/>
  <c r="G78" i="8"/>
  <c r="H92" i="8"/>
  <c r="E77" i="8"/>
  <c r="F83" i="8"/>
  <c r="D75" i="8"/>
  <c r="D74" i="8" s="1"/>
  <c r="G4" i="8"/>
  <c r="E8" i="8"/>
  <c r="E7" i="8" s="1"/>
  <c r="E12" i="8" s="1"/>
  <c r="F30" i="8"/>
  <c r="G9" i="8"/>
  <c r="H39" i="8"/>
  <c r="D7" i="8"/>
  <c r="D12" i="8" s="1"/>
  <c r="F11" i="8"/>
  <c r="G24" i="8"/>
  <c r="G10" i="8"/>
  <c r="H47" i="8"/>
  <c r="C78" i="8"/>
  <c r="C8" i="8"/>
  <c r="C11" i="8"/>
  <c r="C10" i="8"/>
  <c r="C7" i="8" s="1"/>
  <c r="C12" i="8" s="1"/>
  <c r="C77" i="8"/>
  <c r="C75" i="8" s="1"/>
  <c r="C74" i="8"/>
  <c r="C99" i="8"/>
  <c r="C162" i="8"/>
  <c r="B16" i="30"/>
  <c r="G28" i="6"/>
  <c r="AJ11" i="1"/>
  <c r="AJ5" i="30" s="1"/>
  <c r="AJ4" i="30" s="1"/>
  <c r="B36" i="31" s="1"/>
  <c r="AF11" i="1"/>
  <c r="AF5" i="30" s="1"/>
  <c r="AF4" i="30" s="1"/>
  <c r="B32" i="31" s="1"/>
  <c r="AB11" i="1"/>
  <c r="AB5" i="30" s="1"/>
  <c r="AB4" i="30" s="1"/>
  <c r="B28" i="31" s="1"/>
  <c r="X11" i="1"/>
  <c r="X5" i="30" s="1"/>
  <c r="X4" i="30" s="1"/>
  <c r="B24" i="31" s="1"/>
  <c r="T11" i="1"/>
  <c r="T5" i="30" s="1"/>
  <c r="T4" i="30" s="1"/>
  <c r="B20" i="31" s="1"/>
  <c r="P11" i="1"/>
  <c r="P5" i="30" s="1"/>
  <c r="P4" i="30" s="1"/>
  <c r="B16" i="31" s="1"/>
  <c r="L11" i="1"/>
  <c r="L5" i="30" s="1"/>
  <c r="L4" i="30" s="1"/>
  <c r="B12" i="31" s="1"/>
  <c r="H11" i="1"/>
  <c r="H5" i="30" s="1"/>
  <c r="H4" i="30" s="1"/>
  <c r="B8" i="31" s="1"/>
  <c r="D11" i="1"/>
  <c r="D5" i="30" s="1"/>
  <c r="D4" i="30" s="1"/>
  <c r="B4" i="31" s="1"/>
  <c r="AI11" i="1"/>
  <c r="AI5" i="30" s="1"/>
  <c r="AI4" i="30" s="1"/>
  <c r="B35" i="31" s="1"/>
  <c r="AE11" i="1"/>
  <c r="AE5" i="30" s="1"/>
  <c r="AE4" i="30" s="1"/>
  <c r="B31" i="31" s="1"/>
  <c r="AA11" i="1"/>
  <c r="AA5" i="30" s="1"/>
  <c r="AA4" i="30" s="1"/>
  <c r="B27" i="31" s="1"/>
  <c r="W11" i="1"/>
  <c r="W5" i="30" s="1"/>
  <c r="W4" i="30" s="1"/>
  <c r="B23" i="31" s="1"/>
  <c r="S11" i="1"/>
  <c r="S5" i="30" s="1"/>
  <c r="S4" i="30" s="1"/>
  <c r="B19" i="31" s="1"/>
  <c r="O11" i="1"/>
  <c r="O5" i="30" s="1"/>
  <c r="O4" i="30" s="1"/>
  <c r="B15" i="31" s="1"/>
  <c r="K11" i="1"/>
  <c r="K5" i="30" s="1"/>
  <c r="K4" i="30" s="1"/>
  <c r="B11" i="31" s="1"/>
  <c r="G11" i="1"/>
  <c r="G5" i="30" s="1"/>
  <c r="G4" i="30" s="1"/>
  <c r="B7" i="31" s="1"/>
  <c r="C11" i="1"/>
  <c r="C5" i="30" s="1"/>
  <c r="C4" i="30" s="1"/>
  <c r="B3" i="31" s="1"/>
  <c r="AH11" i="1"/>
  <c r="AH5" i="30" s="1"/>
  <c r="AH4" i="30" s="1"/>
  <c r="B34" i="31" s="1"/>
  <c r="AD11" i="1"/>
  <c r="AD5" i="30" s="1"/>
  <c r="AD4" i="30" s="1"/>
  <c r="B30" i="31" s="1"/>
  <c r="Z11" i="1"/>
  <c r="Z5" i="30" s="1"/>
  <c r="Z4" i="30" s="1"/>
  <c r="B26" i="31" s="1"/>
  <c r="V11" i="1"/>
  <c r="V5" i="30" s="1"/>
  <c r="V4" i="30" s="1"/>
  <c r="B22" i="31" s="1"/>
  <c r="R11" i="1"/>
  <c r="R5" i="30" s="1"/>
  <c r="R4" i="30" s="1"/>
  <c r="B18" i="31" s="1"/>
  <c r="N11" i="1"/>
  <c r="N5" i="30" s="1"/>
  <c r="N4" i="30" s="1"/>
  <c r="B14" i="31" s="1"/>
  <c r="J11" i="1"/>
  <c r="J5" i="30" s="1"/>
  <c r="J4" i="30" s="1"/>
  <c r="B10" i="31" s="1"/>
  <c r="M75" i="28" l="1"/>
  <c r="M47" i="30" s="1"/>
  <c r="J75" i="28"/>
  <c r="J47" i="30" s="1"/>
  <c r="R75" i="28"/>
  <c r="R47" i="30" s="1"/>
  <c r="U75" i="28"/>
  <c r="U47" i="30" s="1"/>
  <c r="L75" i="28"/>
  <c r="L47" i="30" s="1"/>
  <c r="O75" i="28"/>
  <c r="O47" i="30" s="1"/>
  <c r="S75" i="28"/>
  <c r="S47" i="30" s="1"/>
  <c r="T75" i="28"/>
  <c r="T47" i="30" s="1"/>
  <c r="W75" i="28"/>
  <c r="W47" i="30" s="1"/>
  <c r="X75" i="28"/>
  <c r="X47" i="30" s="1"/>
  <c r="C55" i="30"/>
  <c r="D22" i="28"/>
  <c r="C52" i="30"/>
  <c r="D17" i="28"/>
  <c r="C51" i="30"/>
  <c r="B46" i="30"/>
  <c r="G2" i="32" s="1"/>
  <c r="E9" i="27"/>
  <c r="F9" i="27" s="1"/>
  <c r="D13" i="27"/>
  <c r="D49" i="30" s="1"/>
  <c r="C13" i="27"/>
  <c r="C49" i="30" s="1"/>
  <c r="D148" i="20"/>
  <c r="D155" i="20" s="1"/>
  <c r="N123" i="20"/>
  <c r="N154" i="20" s="1"/>
  <c r="C154" i="20"/>
  <c r="R111" i="20"/>
  <c r="D44" i="20"/>
  <c r="C153" i="20" s="1"/>
  <c r="R53" i="20"/>
  <c r="R114" i="20" s="1"/>
  <c r="S58" i="20"/>
  <c r="S119" i="20" s="1"/>
  <c r="G44" i="20"/>
  <c r="F60" i="30" s="1"/>
  <c r="S52" i="20"/>
  <c r="S113" i="20" s="1"/>
  <c r="Q119" i="20"/>
  <c r="R40" i="20"/>
  <c r="H44" i="20"/>
  <c r="E44" i="20"/>
  <c r="D153" i="20" s="1"/>
  <c r="C155" i="20"/>
  <c r="F44" i="20"/>
  <c r="E60" i="30" s="1"/>
  <c r="B60" i="30"/>
  <c r="B153" i="20"/>
  <c r="G154" i="20"/>
  <c r="R118" i="20"/>
  <c r="S57" i="20"/>
  <c r="B154" i="20"/>
  <c r="R49" i="20"/>
  <c r="Q110" i="20"/>
  <c r="P116" i="20"/>
  <c r="Q55" i="20"/>
  <c r="S111" i="20"/>
  <c r="T50" i="20"/>
  <c r="Q56" i="20"/>
  <c r="P117" i="20"/>
  <c r="Q54" i="20"/>
  <c r="P115" i="20"/>
  <c r="R51" i="20"/>
  <c r="Q112" i="20"/>
  <c r="F61" i="30"/>
  <c r="F154" i="20"/>
  <c r="H154" i="20"/>
  <c r="H61" i="30"/>
  <c r="D154" i="20"/>
  <c r="D61" i="30"/>
  <c r="M61" i="30"/>
  <c r="M154" i="20"/>
  <c r="I61" i="30"/>
  <c r="I154" i="20"/>
  <c r="K61" i="30"/>
  <c r="K154" i="20"/>
  <c r="N61" i="30"/>
  <c r="J61" i="30"/>
  <c r="J154" i="20"/>
  <c r="E154" i="20"/>
  <c r="E61" i="30"/>
  <c r="L61" i="30"/>
  <c r="L154" i="20"/>
  <c r="Q16" i="19"/>
  <c r="Q63" i="30" s="1"/>
  <c r="S3" i="19"/>
  <c r="B104" i="18"/>
  <c r="C104" i="18"/>
  <c r="D94" i="18"/>
  <c r="N106" i="18"/>
  <c r="F106" i="18"/>
  <c r="N96" i="18"/>
  <c r="I106" i="18"/>
  <c r="K106" i="18"/>
  <c r="G106" i="18"/>
  <c r="J106" i="18"/>
  <c r="C106" i="18"/>
  <c r="J96" i="18"/>
  <c r="P96" i="18"/>
  <c r="M106" i="18"/>
  <c r="B106" i="18"/>
  <c r="E106" i="18"/>
  <c r="C96" i="18"/>
  <c r="E105" i="18"/>
  <c r="H106" i="18"/>
  <c r="F95" i="18"/>
  <c r="I96" i="18"/>
  <c r="F96" i="18"/>
  <c r="B96" i="18"/>
  <c r="O96" i="18"/>
  <c r="H96" i="18"/>
  <c r="K96" i="18"/>
  <c r="G96" i="18"/>
  <c r="E96" i="18"/>
  <c r="L96" i="18"/>
  <c r="D96" i="18"/>
  <c r="B95" i="18"/>
  <c r="E95" i="18"/>
  <c r="D65" i="30"/>
  <c r="E102" i="18"/>
  <c r="L102" i="18"/>
  <c r="B102" i="18"/>
  <c r="F102" i="18"/>
  <c r="H102" i="18"/>
  <c r="K102" i="18"/>
  <c r="G102" i="18"/>
  <c r="J102" i="18"/>
  <c r="I102" i="18"/>
  <c r="O102" i="18"/>
  <c r="M102" i="18"/>
  <c r="N102" i="18"/>
  <c r="N92" i="18"/>
  <c r="I92" i="18"/>
  <c r="P102" i="18"/>
  <c r="C102" i="18"/>
  <c r="B92" i="18"/>
  <c r="C105" i="18"/>
  <c r="B105" i="18"/>
  <c r="C95" i="18"/>
  <c r="F105" i="18"/>
  <c r="D106" i="18"/>
  <c r="O92" i="18"/>
  <c r="P92" i="18"/>
  <c r="C92" i="18"/>
  <c r="H92" i="18"/>
  <c r="K92" i="18"/>
  <c r="G92" i="18"/>
  <c r="D92" i="18"/>
  <c r="M92" i="18"/>
  <c r="E92" i="18"/>
  <c r="L92" i="18"/>
  <c r="J92" i="18"/>
  <c r="D101" i="18"/>
  <c r="E94" i="18"/>
  <c r="B155" i="20"/>
  <c r="G33" i="18"/>
  <c r="Q8" i="18"/>
  <c r="P7" i="18"/>
  <c r="E144" i="20"/>
  <c r="E148" i="20" s="1"/>
  <c r="F32" i="18"/>
  <c r="E64" i="30" s="1"/>
  <c r="H29" i="18"/>
  <c r="R31" i="18"/>
  <c r="Q102" i="18"/>
  <c r="Q92" i="18"/>
  <c r="Q96" i="18"/>
  <c r="Q106" i="18"/>
  <c r="S31" i="18"/>
  <c r="C7" i="25"/>
  <c r="C14" i="25"/>
  <c r="C75" i="30" s="1"/>
  <c r="B76" i="30"/>
  <c r="B73" i="30" s="1"/>
  <c r="I2" i="33" s="1"/>
  <c r="C15" i="25"/>
  <c r="C76" i="30" s="1"/>
  <c r="C73" i="30" s="1"/>
  <c r="I3" i="33" s="1"/>
  <c r="D4" i="24"/>
  <c r="D79" i="30" s="1"/>
  <c r="C71" i="30"/>
  <c r="I3" i="34" s="1"/>
  <c r="E4" i="24"/>
  <c r="C3" i="24"/>
  <c r="B80" i="30"/>
  <c r="B72" i="30" s="1"/>
  <c r="I2" i="31" s="1"/>
  <c r="E3" i="33"/>
  <c r="C18" i="23"/>
  <c r="C78" i="30"/>
  <c r="D18" i="23"/>
  <c r="G52" i="11"/>
  <c r="G53" i="11"/>
  <c r="D43" i="6"/>
  <c r="H43" i="6"/>
  <c r="L43" i="6"/>
  <c r="P43" i="6"/>
  <c r="T43" i="6"/>
  <c r="X43" i="6"/>
  <c r="X45" i="6" s="1"/>
  <c r="X41" i="30" s="1"/>
  <c r="AB43" i="6"/>
  <c r="AF43" i="6"/>
  <c r="AJ43" i="6"/>
  <c r="E43" i="6"/>
  <c r="E45" i="6" s="1"/>
  <c r="E41" i="30" s="1"/>
  <c r="I43" i="6"/>
  <c r="I45" i="6" s="1"/>
  <c r="I41" i="30" s="1"/>
  <c r="M43" i="6"/>
  <c r="M45" i="6" s="1"/>
  <c r="M41" i="30" s="1"/>
  <c r="Q43" i="6"/>
  <c r="Q45" i="6" s="1"/>
  <c r="U43" i="6"/>
  <c r="U45" i="6" s="1"/>
  <c r="U41" i="30" s="1"/>
  <c r="Y43" i="6"/>
  <c r="Y45" i="6" s="1"/>
  <c r="Y41" i="30" s="1"/>
  <c r="AC43" i="6"/>
  <c r="AC45" i="6" s="1"/>
  <c r="AC41" i="30" s="1"/>
  <c r="AG43" i="6"/>
  <c r="AG45" i="6" s="1"/>
  <c r="F43" i="6"/>
  <c r="J43" i="6"/>
  <c r="N43" i="6"/>
  <c r="R43" i="6"/>
  <c r="V43" i="6"/>
  <c r="Z43" i="6"/>
  <c r="AD43" i="6"/>
  <c r="AH43" i="6"/>
  <c r="C43" i="6"/>
  <c r="C45" i="6" s="1"/>
  <c r="C41" i="30" s="1"/>
  <c r="G43" i="6"/>
  <c r="G45" i="6" s="1"/>
  <c r="K43" i="6"/>
  <c r="O43" i="6"/>
  <c r="S43" i="6"/>
  <c r="W43" i="6"/>
  <c r="AA43" i="6"/>
  <c r="AI43" i="6"/>
  <c r="B43" i="6"/>
  <c r="B45" i="6" s="1"/>
  <c r="B41" i="30" s="1"/>
  <c r="AE43" i="6"/>
  <c r="C40" i="30"/>
  <c r="F44" i="6"/>
  <c r="F40" i="30" s="1"/>
  <c r="J44" i="6"/>
  <c r="J40" i="30" s="1"/>
  <c r="N44" i="6"/>
  <c r="N40" i="30" s="1"/>
  <c r="R44" i="6"/>
  <c r="R40" i="30" s="1"/>
  <c r="V44" i="6"/>
  <c r="V40" i="30" s="1"/>
  <c r="Z44" i="6"/>
  <c r="Z40" i="30" s="1"/>
  <c r="AD44" i="6"/>
  <c r="AD40" i="30" s="1"/>
  <c r="AH44" i="6"/>
  <c r="AH40" i="30" s="1"/>
  <c r="C44" i="6"/>
  <c r="G44" i="6"/>
  <c r="G40" i="30" s="1"/>
  <c r="K44" i="6"/>
  <c r="K40" i="30" s="1"/>
  <c r="O44" i="6"/>
  <c r="O40" i="30" s="1"/>
  <c r="S44" i="6"/>
  <c r="S40" i="30" s="1"/>
  <c r="W44" i="6"/>
  <c r="W40" i="30" s="1"/>
  <c r="AA44" i="6"/>
  <c r="AA40" i="30" s="1"/>
  <c r="AE44" i="6"/>
  <c r="AE40" i="30" s="1"/>
  <c r="AI44" i="6"/>
  <c r="AI40" i="30" s="1"/>
  <c r="D44" i="6"/>
  <c r="D40" i="30" s="1"/>
  <c r="H44" i="6"/>
  <c r="H40" i="30" s="1"/>
  <c r="L44" i="6"/>
  <c r="L40" i="30" s="1"/>
  <c r="P44" i="6"/>
  <c r="P40" i="30" s="1"/>
  <c r="T44" i="6"/>
  <c r="T40" i="30" s="1"/>
  <c r="X44" i="6"/>
  <c r="X40" i="30" s="1"/>
  <c r="AB44" i="6"/>
  <c r="AB40" i="30" s="1"/>
  <c r="AF44" i="6"/>
  <c r="AF40" i="30" s="1"/>
  <c r="AJ44" i="6"/>
  <c r="AJ40" i="30" s="1"/>
  <c r="B44" i="6"/>
  <c r="B40" i="30" s="1"/>
  <c r="Q44" i="6"/>
  <c r="Q40" i="30" s="1"/>
  <c r="AG44" i="6"/>
  <c r="AG40" i="30" s="1"/>
  <c r="E44" i="6"/>
  <c r="E40" i="30" s="1"/>
  <c r="U44" i="6"/>
  <c r="U40" i="30" s="1"/>
  <c r="I44" i="6"/>
  <c r="I40" i="30" s="1"/>
  <c r="Y44" i="6"/>
  <c r="Y40" i="30" s="1"/>
  <c r="M44" i="6"/>
  <c r="M40" i="30" s="1"/>
  <c r="AC44" i="6"/>
  <c r="AC40" i="30" s="1"/>
  <c r="E72" i="11"/>
  <c r="E11" i="30" s="1"/>
  <c r="K11" i="30"/>
  <c r="F11" i="30"/>
  <c r="E73" i="11"/>
  <c r="E12" i="30" s="1"/>
  <c r="F99" i="8"/>
  <c r="G103" i="8"/>
  <c r="E100" i="8"/>
  <c r="E101" i="8" s="1"/>
  <c r="H78" i="8"/>
  <c r="I92" i="8"/>
  <c r="F77" i="8"/>
  <c r="G83" i="8"/>
  <c r="F76" i="8"/>
  <c r="G82" i="8"/>
  <c r="E75" i="8"/>
  <c r="E74" i="8" s="1"/>
  <c r="F8" i="8"/>
  <c r="F7" i="8" s="1"/>
  <c r="F12" i="8" s="1"/>
  <c r="G30" i="8"/>
  <c r="H10" i="8"/>
  <c r="I47" i="8"/>
  <c r="H9" i="8"/>
  <c r="I39" i="8"/>
  <c r="H4" i="8"/>
  <c r="G11" i="8"/>
  <c r="H24" i="8"/>
  <c r="C163" i="8"/>
  <c r="C164" i="8" s="1"/>
  <c r="C16" i="30"/>
  <c r="C100" i="8"/>
  <c r="C101" i="8" s="1"/>
  <c r="G39" i="30"/>
  <c r="G41" i="30"/>
  <c r="Q41" i="30"/>
  <c r="Q39" i="30"/>
  <c r="AG41" i="30"/>
  <c r="AG39" i="30"/>
  <c r="Y75" i="28" l="1"/>
  <c r="Y47" i="30" s="1"/>
  <c r="Z75" i="28"/>
  <c r="Z47" i="30" s="1"/>
  <c r="AA75" i="28"/>
  <c r="AA47" i="30" s="1"/>
  <c r="D55" i="30"/>
  <c r="C46" i="30"/>
  <c r="G3" i="32" s="1"/>
  <c r="E22" i="28"/>
  <c r="D52" i="30"/>
  <c r="B51" i="28"/>
  <c r="B48" i="30" s="1"/>
  <c r="B45" i="30" s="1"/>
  <c r="G2" i="33" s="1"/>
  <c r="D51" i="30"/>
  <c r="E17" i="28"/>
  <c r="G9" i="27"/>
  <c r="F13" i="27"/>
  <c r="F49" i="30" s="1"/>
  <c r="E13" i="27"/>
  <c r="E49" i="30" s="1"/>
  <c r="T52" i="20"/>
  <c r="C60" i="30"/>
  <c r="O123" i="20"/>
  <c r="S53" i="20"/>
  <c r="T53" i="20" s="1"/>
  <c r="T58" i="20"/>
  <c r="T119" i="20" s="1"/>
  <c r="F153" i="20"/>
  <c r="E153" i="20"/>
  <c r="C67" i="30"/>
  <c r="U58" i="20"/>
  <c r="U119" i="20" s="1"/>
  <c r="D60" i="30"/>
  <c r="G60" i="30"/>
  <c r="G153" i="20"/>
  <c r="S40" i="20"/>
  <c r="I44" i="20"/>
  <c r="S118" i="20"/>
  <c r="T57" i="20"/>
  <c r="B67" i="30"/>
  <c r="T113" i="20"/>
  <c r="U52" i="20"/>
  <c r="U50" i="20"/>
  <c r="T111" i="20"/>
  <c r="R55" i="20"/>
  <c r="Q116" i="20"/>
  <c r="R112" i="20"/>
  <c r="S51" i="20"/>
  <c r="Q117" i="20"/>
  <c r="R56" i="20"/>
  <c r="Q115" i="20"/>
  <c r="R54" i="20"/>
  <c r="R110" i="20"/>
  <c r="S49" i="20"/>
  <c r="R16" i="19"/>
  <c r="R63" i="30" s="1"/>
  <c r="T3" i="19"/>
  <c r="C62" i="30"/>
  <c r="B66" i="30"/>
  <c r="B59" i="30" s="1"/>
  <c r="H2" i="32" s="1"/>
  <c r="B62" i="30"/>
  <c r="D62" i="30"/>
  <c r="C91" i="18"/>
  <c r="C66" i="30" s="1"/>
  <c r="C59" i="30" s="1"/>
  <c r="H3" i="32" s="1"/>
  <c r="H30" i="18"/>
  <c r="R8" i="18"/>
  <c r="H33" i="18"/>
  <c r="G95" i="18"/>
  <c r="G105" i="18"/>
  <c r="E101" i="18"/>
  <c r="E62" i="30" s="1"/>
  <c r="E65" i="30"/>
  <c r="E155" i="20"/>
  <c r="F144" i="20"/>
  <c r="F148" i="20" s="1"/>
  <c r="Q7" i="18"/>
  <c r="G32" i="18"/>
  <c r="F64" i="30" s="1"/>
  <c r="F104" i="18"/>
  <c r="F94" i="18"/>
  <c r="I29" i="18"/>
  <c r="R102" i="18"/>
  <c r="R92" i="18"/>
  <c r="T31" i="18"/>
  <c r="R96" i="18"/>
  <c r="R106" i="18"/>
  <c r="D7" i="25"/>
  <c r="D15" i="25"/>
  <c r="D76" i="30" s="1"/>
  <c r="D73" i="30" s="1"/>
  <c r="I4" i="33" s="1"/>
  <c r="D14" i="25"/>
  <c r="D75" i="30" s="1"/>
  <c r="D71" i="30" s="1"/>
  <c r="I4" i="34" s="1"/>
  <c r="E4" i="33"/>
  <c r="C80" i="30"/>
  <c r="C72" i="30" s="1"/>
  <c r="I3" i="31" s="1"/>
  <c r="D3" i="24"/>
  <c r="F4" i="24"/>
  <c r="E79" i="30"/>
  <c r="E18" i="23"/>
  <c r="D78" i="30"/>
  <c r="B73" i="11"/>
  <c r="B12" i="30" s="1"/>
  <c r="B10" i="30" s="1"/>
  <c r="C2" i="31" s="1"/>
  <c r="D73" i="11"/>
  <c r="D12" i="30" s="1"/>
  <c r="C73" i="11"/>
  <c r="C12" i="30" s="1"/>
  <c r="C10" i="30" s="1"/>
  <c r="C3" i="31" s="1"/>
  <c r="F12" i="30"/>
  <c r="I12" i="30"/>
  <c r="J12" i="30"/>
  <c r="J11" i="30"/>
  <c r="B72" i="11"/>
  <c r="B11" i="30" s="1"/>
  <c r="G12" i="30"/>
  <c r="C72" i="11"/>
  <c r="C11" i="30" s="1"/>
  <c r="D72" i="11"/>
  <c r="D11" i="30" s="1"/>
  <c r="I11" i="30"/>
  <c r="H11" i="30"/>
  <c r="K12" i="30"/>
  <c r="H12" i="30"/>
  <c r="C39" i="30"/>
  <c r="Q38" i="30"/>
  <c r="F17" i="32" s="1"/>
  <c r="E39" i="30"/>
  <c r="E38" i="30" s="1"/>
  <c r="F5" i="32" s="1"/>
  <c r="X39" i="30"/>
  <c r="X38" i="30" s="1"/>
  <c r="F24" i="32" s="1"/>
  <c r="AC39" i="30"/>
  <c r="AC38" i="30" s="1"/>
  <c r="F29" i="32" s="1"/>
  <c r="Y39" i="30"/>
  <c r="Y38" i="30" s="1"/>
  <c r="F25" i="32" s="1"/>
  <c r="AA45" i="6"/>
  <c r="AA41" i="30" s="1"/>
  <c r="AA39" i="30"/>
  <c r="K45" i="6"/>
  <c r="K41" i="30" s="1"/>
  <c r="K39" i="30"/>
  <c r="AD45" i="6"/>
  <c r="AD41" i="30" s="1"/>
  <c r="AD39" i="30"/>
  <c r="N45" i="6"/>
  <c r="N41" i="30" s="1"/>
  <c r="N39" i="30"/>
  <c r="AF45" i="6"/>
  <c r="AF41" i="30" s="1"/>
  <c r="AF39" i="30"/>
  <c r="P45" i="6"/>
  <c r="P41" i="30" s="1"/>
  <c r="P39" i="30"/>
  <c r="AE45" i="6"/>
  <c r="AE41" i="30" s="1"/>
  <c r="AE39" i="30"/>
  <c r="W45" i="6"/>
  <c r="W41" i="30" s="1"/>
  <c r="W39" i="30"/>
  <c r="Z45" i="6"/>
  <c r="Z41" i="30" s="1"/>
  <c r="Z39" i="30"/>
  <c r="J45" i="6"/>
  <c r="J41" i="30" s="1"/>
  <c r="J39" i="30"/>
  <c r="AB45" i="6"/>
  <c r="AB41" i="30" s="1"/>
  <c r="AB39" i="30"/>
  <c r="L45" i="6"/>
  <c r="L41" i="30" s="1"/>
  <c r="L39" i="30"/>
  <c r="M39" i="30"/>
  <c r="M38" i="30" s="1"/>
  <c r="F13" i="32" s="1"/>
  <c r="I39" i="30"/>
  <c r="I38" i="30" s="1"/>
  <c r="F9" i="32" s="1"/>
  <c r="S45" i="6"/>
  <c r="S41" i="30" s="1"/>
  <c r="S39" i="30"/>
  <c r="V45" i="6"/>
  <c r="V41" i="30" s="1"/>
  <c r="V39" i="30"/>
  <c r="F45" i="6"/>
  <c r="F41" i="30" s="1"/>
  <c r="F39" i="30"/>
  <c r="H45" i="6"/>
  <c r="H41" i="30" s="1"/>
  <c r="H39" i="30"/>
  <c r="U39" i="30"/>
  <c r="U38" i="30" s="1"/>
  <c r="F21" i="32" s="1"/>
  <c r="B39" i="30"/>
  <c r="B38" i="30" s="1"/>
  <c r="F2" i="32" s="1"/>
  <c r="AI45" i="6"/>
  <c r="AI41" i="30" s="1"/>
  <c r="AI39" i="30"/>
  <c r="O45" i="6"/>
  <c r="O41" i="30" s="1"/>
  <c r="O39" i="30"/>
  <c r="AH45" i="6"/>
  <c r="AH41" i="30" s="1"/>
  <c r="AH39" i="30"/>
  <c r="R45" i="6"/>
  <c r="R41" i="30" s="1"/>
  <c r="R39" i="30"/>
  <c r="AJ45" i="6"/>
  <c r="AJ41" i="30" s="1"/>
  <c r="AJ39" i="30"/>
  <c r="T45" i="6"/>
  <c r="T41" i="30" s="1"/>
  <c r="T39" i="30"/>
  <c r="D45" i="6"/>
  <c r="D41" i="30" s="1"/>
  <c r="D39" i="30"/>
  <c r="G11" i="30"/>
  <c r="H103" i="8"/>
  <c r="G99" i="8"/>
  <c r="F100" i="8"/>
  <c r="F101" i="8"/>
  <c r="G77" i="8"/>
  <c r="H83" i="8"/>
  <c r="G76" i="8"/>
  <c r="G75" i="8" s="1"/>
  <c r="G74" i="8" s="1"/>
  <c r="H82" i="8"/>
  <c r="I78" i="8"/>
  <c r="J92" i="8"/>
  <c r="F75" i="8"/>
  <c r="F74" i="8" s="1"/>
  <c r="I10" i="8"/>
  <c r="J47" i="8"/>
  <c r="I4" i="8"/>
  <c r="H11" i="8"/>
  <c r="I24" i="8"/>
  <c r="I9" i="8"/>
  <c r="J39" i="8"/>
  <c r="G8" i="8"/>
  <c r="G7" i="8" s="1"/>
  <c r="G12" i="8" s="1"/>
  <c r="H30" i="8"/>
  <c r="C199" i="8"/>
  <c r="B13" i="30" s="1"/>
  <c r="D16" i="30"/>
  <c r="C38" i="30"/>
  <c r="F3" i="32" s="1"/>
  <c r="G38" i="30"/>
  <c r="F7" i="32" s="1"/>
  <c r="AG38" i="30"/>
  <c r="F33" i="32" s="1"/>
  <c r="AB75" i="28" l="1"/>
  <c r="AB47" i="30" s="1"/>
  <c r="E55" i="30"/>
  <c r="D46" i="30"/>
  <c r="G4" i="32" s="1"/>
  <c r="F17" i="28"/>
  <c r="E51" i="30"/>
  <c r="C51" i="28"/>
  <c r="C48" i="30" s="1"/>
  <c r="C45" i="30" s="1"/>
  <c r="G3" i="33" s="1"/>
  <c r="E52" i="30"/>
  <c r="F22" i="28"/>
  <c r="H9" i="27"/>
  <c r="G13" i="27"/>
  <c r="G49" i="30" s="1"/>
  <c r="S114" i="20"/>
  <c r="P123" i="20"/>
  <c r="C159" i="20"/>
  <c r="B58" i="30"/>
  <c r="H2" i="33" s="1"/>
  <c r="C58" i="30"/>
  <c r="H3" i="33" s="1"/>
  <c r="V58" i="20"/>
  <c r="D67" i="30"/>
  <c r="D58" i="30" s="1"/>
  <c r="H4" i="33" s="1"/>
  <c r="D159" i="20"/>
  <c r="B159" i="20"/>
  <c r="H60" i="30"/>
  <c r="H153" i="20"/>
  <c r="P154" i="20"/>
  <c r="T40" i="20"/>
  <c r="J44" i="20"/>
  <c r="V119" i="20"/>
  <c r="W58" i="20"/>
  <c r="U57" i="20"/>
  <c r="T118" i="20"/>
  <c r="R115" i="20"/>
  <c r="S54" i="20"/>
  <c r="U113" i="20"/>
  <c r="V52" i="20"/>
  <c r="T49" i="20"/>
  <c r="S110" i="20"/>
  <c r="S56" i="20"/>
  <c r="R117" i="20"/>
  <c r="U111" i="20"/>
  <c r="V50" i="20"/>
  <c r="T51" i="20"/>
  <c r="S112" i="20"/>
  <c r="R116" i="20"/>
  <c r="S55" i="20"/>
  <c r="O61" i="30"/>
  <c r="O154" i="20"/>
  <c r="T114" i="20"/>
  <c r="U53" i="20"/>
  <c r="S16" i="19"/>
  <c r="S63" i="30" s="1"/>
  <c r="U3" i="19"/>
  <c r="D91" i="18"/>
  <c r="D66" i="30" s="1"/>
  <c r="D59" i="30" s="1"/>
  <c r="H4" i="32" s="1"/>
  <c r="F65" i="30"/>
  <c r="F155" i="20"/>
  <c r="S8" i="18"/>
  <c r="I33" i="18"/>
  <c r="H105" i="18"/>
  <c r="H95" i="18"/>
  <c r="E67" i="30"/>
  <c r="E58" i="30" s="1"/>
  <c r="H5" i="33" s="1"/>
  <c r="F101" i="18"/>
  <c r="F62" i="30" s="1"/>
  <c r="G144" i="20"/>
  <c r="G148" i="20" s="1"/>
  <c r="H32" i="18"/>
  <c r="G64" i="30" s="1"/>
  <c r="R7" i="18"/>
  <c r="G104" i="18"/>
  <c r="G94" i="18"/>
  <c r="I30" i="18"/>
  <c r="J29" i="18"/>
  <c r="S102" i="18"/>
  <c r="S92" i="18"/>
  <c r="U31" i="18"/>
  <c r="S96" i="18"/>
  <c r="S106" i="18"/>
  <c r="E7" i="25"/>
  <c r="E14" i="25"/>
  <c r="E75" i="30" s="1"/>
  <c r="E71" i="30" s="1"/>
  <c r="I5" i="34" s="1"/>
  <c r="E15" i="25"/>
  <c r="E76" i="30" s="1"/>
  <c r="E73" i="30" s="1"/>
  <c r="I5" i="33" s="1"/>
  <c r="F79" i="30"/>
  <c r="G4" i="24"/>
  <c r="D80" i="30"/>
  <c r="D72" i="30" s="1"/>
  <c r="I4" i="31" s="1"/>
  <c r="E3" i="24"/>
  <c r="E5" i="33"/>
  <c r="F18" i="23"/>
  <c r="E78" i="30"/>
  <c r="B9" i="30"/>
  <c r="C2" i="32" s="1"/>
  <c r="D10" i="30"/>
  <c r="C4" i="31" s="1"/>
  <c r="D38" i="30"/>
  <c r="F4" i="32" s="1"/>
  <c r="AJ38" i="30"/>
  <c r="F36" i="32" s="1"/>
  <c r="AH38" i="30"/>
  <c r="F34" i="32" s="1"/>
  <c r="AI38" i="30"/>
  <c r="F35" i="32" s="1"/>
  <c r="H38" i="30"/>
  <c r="F8" i="32" s="1"/>
  <c r="V38" i="30"/>
  <c r="F22" i="32" s="1"/>
  <c r="AB38" i="30"/>
  <c r="F28" i="32" s="1"/>
  <c r="AF38" i="30"/>
  <c r="F32" i="32" s="1"/>
  <c r="AD38" i="30"/>
  <c r="F30" i="32" s="1"/>
  <c r="AA38" i="30"/>
  <c r="F27" i="32" s="1"/>
  <c r="O38" i="30"/>
  <c r="F15" i="32" s="1"/>
  <c r="W38" i="30"/>
  <c r="F23" i="32" s="1"/>
  <c r="Z38" i="30"/>
  <c r="F26" i="32" s="1"/>
  <c r="AE38" i="30"/>
  <c r="F31" i="32" s="1"/>
  <c r="T38" i="30"/>
  <c r="F20" i="32" s="1"/>
  <c r="R38" i="30"/>
  <c r="F18" i="32" s="1"/>
  <c r="F38" i="30"/>
  <c r="F6" i="32" s="1"/>
  <c r="S38" i="30"/>
  <c r="F19" i="32" s="1"/>
  <c r="L38" i="30"/>
  <c r="F12" i="32" s="1"/>
  <c r="J38" i="30"/>
  <c r="F10" i="32" s="1"/>
  <c r="P38" i="30"/>
  <c r="F16" i="32" s="1"/>
  <c r="N38" i="30"/>
  <c r="F14" i="32" s="1"/>
  <c r="K38" i="30"/>
  <c r="F11" i="32" s="1"/>
  <c r="G100" i="8"/>
  <c r="G101" i="8" s="1"/>
  <c r="H99" i="8"/>
  <c r="I103" i="8"/>
  <c r="H76" i="8"/>
  <c r="I82" i="8"/>
  <c r="J78" i="8"/>
  <c r="K92" i="8"/>
  <c r="H77" i="8"/>
  <c r="I83" i="8"/>
  <c r="J9" i="8"/>
  <c r="K39" i="8"/>
  <c r="J4" i="8"/>
  <c r="H8" i="8"/>
  <c r="H7" i="8" s="1"/>
  <c r="H12" i="8" s="1"/>
  <c r="I30" i="8"/>
  <c r="I11" i="8"/>
  <c r="J24" i="8"/>
  <c r="J10" i="8"/>
  <c r="K47" i="8"/>
  <c r="D199" i="8"/>
  <c r="C13" i="30" s="1"/>
  <c r="C9" i="30" s="1"/>
  <c r="C3" i="32" s="1"/>
  <c r="E16" i="30"/>
  <c r="E10" i="30" s="1"/>
  <c r="C5" i="31" s="1"/>
  <c r="AC75" i="28" l="1"/>
  <c r="AC47" i="30" s="1"/>
  <c r="F55" i="30"/>
  <c r="E46" i="30"/>
  <c r="G5" i="32" s="1"/>
  <c r="F52" i="30"/>
  <c r="G22" i="28"/>
  <c r="D51" i="28"/>
  <c r="D48" i="30" s="1"/>
  <c r="D45" i="30" s="1"/>
  <c r="G4" i="33" s="1"/>
  <c r="G17" i="28"/>
  <c r="F51" i="30"/>
  <c r="I9" i="27"/>
  <c r="H13" i="27"/>
  <c r="H49" i="30" s="1"/>
  <c r="Q123" i="20"/>
  <c r="Q154" i="20" s="1"/>
  <c r="P61" i="30"/>
  <c r="U40" i="20"/>
  <c r="K44" i="20"/>
  <c r="I153" i="20"/>
  <c r="I60" i="30"/>
  <c r="W119" i="20"/>
  <c r="X58" i="20"/>
  <c r="U118" i="20"/>
  <c r="V57" i="20"/>
  <c r="Q61" i="30"/>
  <c r="W52" i="20"/>
  <c r="V113" i="20"/>
  <c r="T112" i="20"/>
  <c r="U51" i="20"/>
  <c r="S117" i="20"/>
  <c r="T56" i="20"/>
  <c r="V111" i="20"/>
  <c r="W50" i="20"/>
  <c r="T54" i="20"/>
  <c r="S115" i="20"/>
  <c r="U114" i="20"/>
  <c r="V53" i="20"/>
  <c r="S116" i="20"/>
  <c r="T55" i="20"/>
  <c r="T110" i="20"/>
  <c r="U49" i="20"/>
  <c r="V3" i="19"/>
  <c r="T16" i="19"/>
  <c r="T63" i="30" s="1"/>
  <c r="E91" i="18"/>
  <c r="E66" i="30" s="1"/>
  <c r="E59" i="30" s="1"/>
  <c r="H5" i="32" s="1"/>
  <c r="E159" i="20"/>
  <c r="J30" i="18"/>
  <c r="G155" i="20"/>
  <c r="G65" i="30"/>
  <c r="F67" i="30"/>
  <c r="F58" i="30" s="1"/>
  <c r="H6" i="33" s="1"/>
  <c r="H144" i="20"/>
  <c r="H148" i="20" s="1"/>
  <c r="I32" i="18"/>
  <c r="H64" i="30" s="1"/>
  <c r="S7" i="18"/>
  <c r="H104" i="18"/>
  <c r="H94" i="18"/>
  <c r="G101" i="18"/>
  <c r="G62" i="30" s="1"/>
  <c r="J33" i="18"/>
  <c r="T8" i="18"/>
  <c r="I105" i="18"/>
  <c r="I95" i="18"/>
  <c r="K29" i="18"/>
  <c r="T106" i="18"/>
  <c r="T96" i="18"/>
  <c r="V31" i="18"/>
  <c r="T102" i="18"/>
  <c r="T92" i="18"/>
  <c r="F7" i="25"/>
  <c r="F15" i="25"/>
  <c r="F76" i="30" s="1"/>
  <c r="F73" i="30" s="1"/>
  <c r="I6" i="33" s="1"/>
  <c r="F14" i="25"/>
  <c r="F75" i="30" s="1"/>
  <c r="F71" i="30" s="1"/>
  <c r="I6" i="34" s="1"/>
  <c r="E6" i="33"/>
  <c r="G79" i="30"/>
  <c r="H4" i="24"/>
  <c r="F3" i="24"/>
  <c r="E80" i="30"/>
  <c r="E72" i="30" s="1"/>
  <c r="I5" i="31" s="1"/>
  <c r="F78" i="30"/>
  <c r="G18" i="23"/>
  <c r="H100" i="8"/>
  <c r="H101" i="8" s="1"/>
  <c r="I99" i="8"/>
  <c r="J103" i="8"/>
  <c r="K78" i="8"/>
  <c r="L92" i="8"/>
  <c r="J83" i="8"/>
  <c r="I77" i="8"/>
  <c r="I76" i="8"/>
  <c r="J82" i="8"/>
  <c r="H75" i="8"/>
  <c r="H74" i="8" s="1"/>
  <c r="K4" i="8"/>
  <c r="J11" i="8"/>
  <c r="K24" i="8"/>
  <c r="K10" i="8"/>
  <c r="L47" i="8"/>
  <c r="I8" i="8"/>
  <c r="I7" i="8" s="1"/>
  <c r="I12" i="8" s="1"/>
  <c r="J30" i="8"/>
  <c r="K9" i="8"/>
  <c r="L39" i="8"/>
  <c r="E199" i="8"/>
  <c r="D13" i="30" s="1"/>
  <c r="D9" i="30" s="1"/>
  <c r="C4" i="32" s="1"/>
  <c r="F16" i="30"/>
  <c r="F10" i="30" s="1"/>
  <c r="C6" i="31" s="1"/>
  <c r="AD75" i="28" l="1"/>
  <c r="AD47" i="30" s="1"/>
  <c r="G55" i="30"/>
  <c r="F46" i="30"/>
  <c r="G6" i="32" s="1"/>
  <c r="H17" i="28"/>
  <c r="G51" i="30"/>
  <c r="H22" i="28"/>
  <c r="G52" i="30"/>
  <c r="E51" i="28"/>
  <c r="E48" i="30" s="1"/>
  <c r="E45" i="30" s="1"/>
  <c r="G5" i="33" s="1"/>
  <c r="J9" i="27"/>
  <c r="I13" i="27"/>
  <c r="I49" i="30" s="1"/>
  <c r="R123" i="20"/>
  <c r="J153" i="20"/>
  <c r="J60" i="30"/>
  <c r="V40" i="20"/>
  <c r="L44" i="20"/>
  <c r="X119" i="20"/>
  <c r="Y58" i="20"/>
  <c r="V118" i="20"/>
  <c r="W57" i="20"/>
  <c r="R61" i="30"/>
  <c r="R154" i="20"/>
  <c r="U54" i="20"/>
  <c r="T115" i="20"/>
  <c r="T117" i="20"/>
  <c r="U56" i="20"/>
  <c r="V49" i="20"/>
  <c r="U110" i="20"/>
  <c r="V114" i="20"/>
  <c r="W53" i="20"/>
  <c r="W113" i="20"/>
  <c r="X52" i="20"/>
  <c r="X50" i="20"/>
  <c r="W111" i="20"/>
  <c r="V51" i="20"/>
  <c r="U112" i="20"/>
  <c r="T116" i="20"/>
  <c r="U55" i="20"/>
  <c r="U16" i="19"/>
  <c r="U63" i="30" s="1"/>
  <c r="W3" i="19"/>
  <c r="F91" i="18"/>
  <c r="F66" i="30" s="1"/>
  <c r="F59" i="30" s="1"/>
  <c r="H6" i="32" s="1"/>
  <c r="F159" i="20"/>
  <c r="H101" i="18"/>
  <c r="H62" i="30" s="1"/>
  <c r="K30" i="18"/>
  <c r="T7" i="18"/>
  <c r="J32" i="18"/>
  <c r="I64" i="30" s="1"/>
  <c r="I144" i="20"/>
  <c r="I148" i="20" s="1"/>
  <c r="I104" i="18"/>
  <c r="I94" i="18"/>
  <c r="K33" i="18"/>
  <c r="U8" i="18"/>
  <c r="J105" i="18"/>
  <c r="J95" i="18"/>
  <c r="H155" i="20"/>
  <c r="H65" i="30"/>
  <c r="G67" i="30"/>
  <c r="G58" i="30" s="1"/>
  <c r="H7" i="33" s="1"/>
  <c r="L29" i="18"/>
  <c r="U92" i="18"/>
  <c r="U102" i="18"/>
  <c r="U96" i="18"/>
  <c r="U106" i="18"/>
  <c r="W31" i="18"/>
  <c r="G7" i="25"/>
  <c r="G15" i="25"/>
  <c r="G76" i="30" s="1"/>
  <c r="G73" i="30" s="1"/>
  <c r="I7" i="33" s="1"/>
  <c r="G14" i="25"/>
  <c r="G75" i="30" s="1"/>
  <c r="G71" i="30" s="1"/>
  <c r="I7" i="34" s="1"/>
  <c r="G3" i="24"/>
  <c r="F80" i="30"/>
  <c r="F72" i="30" s="1"/>
  <c r="I6" i="31" s="1"/>
  <c r="I4" i="24"/>
  <c r="H79" i="30"/>
  <c r="E7" i="33"/>
  <c r="G78" i="30"/>
  <c r="H18" i="23"/>
  <c r="J99" i="8"/>
  <c r="K103" i="8"/>
  <c r="I100" i="8"/>
  <c r="I101" i="8" s="1"/>
  <c r="J77" i="8"/>
  <c r="K83" i="8"/>
  <c r="J76" i="8"/>
  <c r="J75" i="8" s="1"/>
  <c r="J74" i="8" s="1"/>
  <c r="K82" i="8"/>
  <c r="L78" i="8"/>
  <c r="M92" i="8"/>
  <c r="I75" i="8"/>
  <c r="I74" i="8" s="1"/>
  <c r="J8" i="8"/>
  <c r="J7" i="8" s="1"/>
  <c r="J12" i="8" s="1"/>
  <c r="K30" i="8"/>
  <c r="K11" i="8"/>
  <c r="L24" i="8"/>
  <c r="L9" i="8"/>
  <c r="M39" i="8"/>
  <c r="L10" i="8"/>
  <c r="M47" i="8"/>
  <c r="L4" i="8"/>
  <c r="F199" i="8"/>
  <c r="E13" i="30" s="1"/>
  <c r="E9" i="30" s="1"/>
  <c r="C5" i="32" s="1"/>
  <c r="G16" i="30"/>
  <c r="G10" i="30" s="1"/>
  <c r="C7" i="31" s="1"/>
  <c r="AE75" i="28" l="1"/>
  <c r="AE47" i="30" s="1"/>
  <c r="H55" i="30"/>
  <c r="I22" i="28"/>
  <c r="H52" i="30"/>
  <c r="G46" i="30"/>
  <c r="G7" i="32" s="1"/>
  <c r="F51" i="28"/>
  <c r="F48" i="30" s="1"/>
  <c r="F45" i="30" s="1"/>
  <c r="G6" i="33" s="1"/>
  <c r="H51" i="30"/>
  <c r="I17" i="28"/>
  <c r="K9" i="27"/>
  <c r="J13" i="27"/>
  <c r="J49" i="30" s="1"/>
  <c r="S123" i="20"/>
  <c r="M44" i="20"/>
  <c r="W40" i="20"/>
  <c r="S154" i="20"/>
  <c r="K153" i="20"/>
  <c r="K60" i="30"/>
  <c r="Y119" i="20"/>
  <c r="Z58" i="20"/>
  <c r="W118" i="20"/>
  <c r="X57" i="20"/>
  <c r="S61" i="30"/>
  <c r="V112" i="20"/>
  <c r="W51" i="20"/>
  <c r="X113" i="20"/>
  <c r="Y52" i="20"/>
  <c r="V55" i="20"/>
  <c r="U116" i="20"/>
  <c r="W49" i="20"/>
  <c r="V110" i="20"/>
  <c r="U115" i="20"/>
  <c r="V54" i="20"/>
  <c r="Y50" i="20"/>
  <c r="X111" i="20"/>
  <c r="X53" i="20"/>
  <c r="W114" i="20"/>
  <c r="U117" i="20"/>
  <c r="V56" i="20"/>
  <c r="V16" i="19"/>
  <c r="V63" i="30" s="1"/>
  <c r="X3" i="19"/>
  <c r="G91" i="18"/>
  <c r="G66" i="30" s="1"/>
  <c r="G59" i="30" s="1"/>
  <c r="H7" i="32" s="1"/>
  <c r="I101" i="18"/>
  <c r="I62" i="30" s="1"/>
  <c r="L33" i="18"/>
  <c r="V8" i="18"/>
  <c r="K95" i="18"/>
  <c r="K105" i="18"/>
  <c r="G159" i="20"/>
  <c r="J144" i="20"/>
  <c r="J148" i="20" s="1"/>
  <c r="K32" i="18"/>
  <c r="J64" i="30" s="1"/>
  <c r="U7" i="18"/>
  <c r="J94" i="18"/>
  <c r="J104" i="18"/>
  <c r="I65" i="30"/>
  <c r="I155" i="20"/>
  <c r="H67" i="30"/>
  <c r="H58" i="30" s="1"/>
  <c r="H8" i="33" s="1"/>
  <c r="L30" i="18"/>
  <c r="M29" i="18"/>
  <c r="X31" i="18"/>
  <c r="V106" i="18"/>
  <c r="V96" i="18"/>
  <c r="V102" i="18"/>
  <c r="V92" i="18"/>
  <c r="H7" i="25"/>
  <c r="H14" i="25"/>
  <c r="H75" i="30" s="1"/>
  <c r="H71" i="30" s="1"/>
  <c r="I8" i="34" s="1"/>
  <c r="H15" i="25"/>
  <c r="H76" i="30" s="1"/>
  <c r="H73" i="30" s="1"/>
  <c r="I8" i="33" s="1"/>
  <c r="I79" i="30"/>
  <c r="J4" i="24"/>
  <c r="E8" i="33"/>
  <c r="H3" i="24"/>
  <c r="G80" i="30"/>
  <c r="G72" i="30" s="1"/>
  <c r="I7" i="31" s="1"/>
  <c r="I18" i="23"/>
  <c r="H78" i="30"/>
  <c r="L103" i="8"/>
  <c r="K99" i="8"/>
  <c r="J100" i="8"/>
  <c r="J101" i="8"/>
  <c r="K77" i="8"/>
  <c r="L83" i="8"/>
  <c r="L82" i="8"/>
  <c r="K76" i="8"/>
  <c r="K75" i="8" s="1"/>
  <c r="K74" i="8" s="1"/>
  <c r="M78" i="8"/>
  <c r="N92" i="8"/>
  <c r="M10" i="8"/>
  <c r="N47" i="8"/>
  <c r="L11" i="8"/>
  <c r="M24" i="8"/>
  <c r="M9" i="8"/>
  <c r="N39" i="8"/>
  <c r="K8" i="8"/>
  <c r="K7" i="8" s="1"/>
  <c r="K12" i="8" s="1"/>
  <c r="L30" i="8"/>
  <c r="M4" i="8"/>
  <c r="G199" i="8"/>
  <c r="F13" i="30" s="1"/>
  <c r="F9" i="30" s="1"/>
  <c r="C6" i="32" s="1"/>
  <c r="H16" i="30"/>
  <c r="H10" i="30" s="1"/>
  <c r="C8" i="31" s="1"/>
  <c r="H46" i="30" l="1"/>
  <c r="G8" i="32" s="1"/>
  <c r="AF75" i="28"/>
  <c r="AF47" i="30" s="1"/>
  <c r="I55" i="30"/>
  <c r="I51" i="30"/>
  <c r="J17" i="28"/>
  <c r="G51" i="28"/>
  <c r="G48" i="30" s="1"/>
  <c r="G45" i="30" s="1"/>
  <c r="G7" i="33" s="1"/>
  <c r="I52" i="30"/>
  <c r="J22" i="28"/>
  <c r="L9" i="27"/>
  <c r="K13" i="27"/>
  <c r="K49" i="30" s="1"/>
  <c r="T123" i="20"/>
  <c r="T154" i="20" s="1"/>
  <c r="X40" i="20"/>
  <c r="N44" i="20"/>
  <c r="L153" i="20"/>
  <c r="L60" i="30"/>
  <c r="Z119" i="20"/>
  <c r="AA58" i="20"/>
  <c r="X118" i="20"/>
  <c r="Y57" i="20"/>
  <c r="X114" i="20"/>
  <c r="Y53" i="20"/>
  <c r="V116" i="20"/>
  <c r="W55" i="20"/>
  <c r="X51" i="20"/>
  <c r="W112" i="20"/>
  <c r="V117" i="20"/>
  <c r="W56" i="20"/>
  <c r="Y111" i="20"/>
  <c r="Z50" i="20"/>
  <c r="X49" i="20"/>
  <c r="W110" i="20"/>
  <c r="Y113" i="20"/>
  <c r="Z52" i="20"/>
  <c r="V115" i="20"/>
  <c r="U123" i="20" s="1"/>
  <c r="W54" i="20"/>
  <c r="W16" i="19"/>
  <c r="W63" i="30" s="1"/>
  <c r="Y3" i="19"/>
  <c r="H91" i="18"/>
  <c r="H66" i="30" s="1"/>
  <c r="H59" i="30" s="1"/>
  <c r="H8" i="32" s="1"/>
  <c r="M30" i="18"/>
  <c r="I67" i="30"/>
  <c r="I58" i="30" s="1"/>
  <c r="H9" i="33" s="1"/>
  <c r="L32" i="18"/>
  <c r="K64" i="30" s="1"/>
  <c r="K144" i="20"/>
  <c r="K148" i="20" s="1"/>
  <c r="V7" i="18"/>
  <c r="K104" i="18"/>
  <c r="K94" i="18"/>
  <c r="H159" i="20"/>
  <c r="J65" i="30"/>
  <c r="J155" i="20"/>
  <c r="J101" i="18"/>
  <c r="J62" i="30" s="1"/>
  <c r="W8" i="18"/>
  <c r="M33" i="18"/>
  <c r="L105" i="18"/>
  <c r="L95" i="18"/>
  <c r="N29" i="18"/>
  <c r="W102" i="18"/>
  <c r="W92" i="18"/>
  <c r="Y31" i="18"/>
  <c r="W106" i="18"/>
  <c r="W96" i="18"/>
  <c r="I7" i="25"/>
  <c r="I14" i="25"/>
  <c r="I75" i="30" s="1"/>
  <c r="I71" i="30" s="1"/>
  <c r="I9" i="34" s="1"/>
  <c r="I15" i="25"/>
  <c r="I76" i="30" s="1"/>
  <c r="I73" i="30" s="1"/>
  <c r="I9" i="33" s="1"/>
  <c r="H80" i="30"/>
  <c r="I3" i="24"/>
  <c r="K4" i="24"/>
  <c r="J79" i="30"/>
  <c r="E9" i="33"/>
  <c r="H72" i="30"/>
  <c r="I8" i="31" s="1"/>
  <c r="J18" i="23"/>
  <c r="I78" i="30"/>
  <c r="K100" i="8"/>
  <c r="K101" i="8" s="1"/>
  <c r="L99" i="8"/>
  <c r="M103" i="8"/>
  <c r="L76" i="8"/>
  <c r="M82" i="8"/>
  <c r="L77" i="8"/>
  <c r="M83" i="8"/>
  <c r="N78" i="8"/>
  <c r="O92" i="8"/>
  <c r="L8" i="8"/>
  <c r="L7" i="8" s="1"/>
  <c r="L12" i="8" s="1"/>
  <c r="M30" i="8"/>
  <c r="M11" i="8"/>
  <c r="N24" i="8"/>
  <c r="N9" i="8"/>
  <c r="O39" i="8"/>
  <c r="N10" i="8"/>
  <c r="O47" i="8"/>
  <c r="N4" i="8"/>
  <c r="H199" i="8"/>
  <c r="G13" i="30" s="1"/>
  <c r="G9" i="30" s="1"/>
  <c r="C7" i="32" s="1"/>
  <c r="I16" i="30"/>
  <c r="I10" i="30" s="1"/>
  <c r="C9" i="31" s="1"/>
  <c r="AG75" i="28" l="1"/>
  <c r="AG47" i="30" s="1"/>
  <c r="J55" i="30"/>
  <c r="I46" i="30"/>
  <c r="G9" i="32" s="1"/>
  <c r="H51" i="28"/>
  <c r="H48" i="30" s="1"/>
  <c r="H45" i="30" s="1"/>
  <c r="G8" i="33" s="1"/>
  <c r="J52" i="30"/>
  <c r="K22" i="28"/>
  <c r="K17" i="28"/>
  <c r="J51" i="30"/>
  <c r="M9" i="27"/>
  <c r="L13" i="27"/>
  <c r="L49" i="30" s="1"/>
  <c r="M60" i="30"/>
  <c r="M153" i="20"/>
  <c r="Y40" i="20"/>
  <c r="O44" i="20"/>
  <c r="T61" i="30"/>
  <c r="AA119" i="20"/>
  <c r="AB58" i="20"/>
  <c r="Y118" i="20"/>
  <c r="Z57" i="20"/>
  <c r="Y114" i="20"/>
  <c r="Z53" i="20"/>
  <c r="W115" i="20"/>
  <c r="X54" i="20"/>
  <c r="U154" i="20"/>
  <c r="U61" i="30"/>
  <c r="Y51" i="20"/>
  <c r="X112" i="20"/>
  <c r="X110" i="20"/>
  <c r="Y49" i="20"/>
  <c r="W117" i="20"/>
  <c r="X56" i="20"/>
  <c r="W116" i="20"/>
  <c r="X55" i="20"/>
  <c r="AA52" i="20"/>
  <c r="Z113" i="20"/>
  <c r="Z111" i="20"/>
  <c r="AA50" i="20"/>
  <c r="Z3" i="19"/>
  <c r="X16" i="19"/>
  <c r="X63" i="30" s="1"/>
  <c r="I159" i="20"/>
  <c r="I91" i="18"/>
  <c r="I66" i="30" s="1"/>
  <c r="I59" i="30" s="1"/>
  <c r="H9" i="32" s="1"/>
  <c r="K101" i="18"/>
  <c r="K62" i="30" s="1"/>
  <c r="M32" i="18"/>
  <c r="L64" i="30" s="1"/>
  <c r="W7" i="18"/>
  <c r="L144" i="20"/>
  <c r="L148" i="20" s="1"/>
  <c r="L94" i="18"/>
  <c r="L104" i="18"/>
  <c r="X8" i="18"/>
  <c r="N33" i="18"/>
  <c r="M105" i="18"/>
  <c r="M95" i="18"/>
  <c r="K155" i="20"/>
  <c r="K65" i="30"/>
  <c r="N30" i="18"/>
  <c r="J67" i="30"/>
  <c r="J58" i="30" s="1"/>
  <c r="H10" i="33" s="1"/>
  <c r="O29" i="18"/>
  <c r="X102" i="18"/>
  <c r="X92" i="18"/>
  <c r="X96" i="18"/>
  <c r="X106" i="18"/>
  <c r="Z31" i="18"/>
  <c r="J7" i="25"/>
  <c r="J15" i="25"/>
  <c r="J76" i="30" s="1"/>
  <c r="J73" i="30" s="1"/>
  <c r="I10" i="33" s="1"/>
  <c r="J14" i="25"/>
  <c r="J75" i="30" s="1"/>
  <c r="J71" i="30" s="1"/>
  <c r="I10" i="34" s="1"/>
  <c r="K79" i="30"/>
  <c r="L4" i="24"/>
  <c r="E10" i="33"/>
  <c r="J3" i="24"/>
  <c r="I80" i="30"/>
  <c r="I72" i="30" s="1"/>
  <c r="I9" i="31" s="1"/>
  <c r="J78" i="30"/>
  <c r="K18" i="23"/>
  <c r="M99" i="8"/>
  <c r="N103" i="8"/>
  <c r="L100" i="8"/>
  <c r="L101" i="8" s="1"/>
  <c r="O78" i="8"/>
  <c r="P92" i="8"/>
  <c r="M76" i="8"/>
  <c r="N82" i="8"/>
  <c r="N83" i="8"/>
  <c r="M77" i="8"/>
  <c r="L75" i="8"/>
  <c r="L74" i="8" s="1"/>
  <c r="O10" i="8"/>
  <c r="P47" i="8"/>
  <c r="N11" i="8"/>
  <c r="O24" i="8"/>
  <c r="O4" i="8"/>
  <c r="O9" i="8"/>
  <c r="P39" i="8"/>
  <c r="M8" i="8"/>
  <c r="M7" i="8" s="1"/>
  <c r="M12" i="8" s="1"/>
  <c r="N30" i="8"/>
  <c r="J16" i="30"/>
  <c r="J10" i="30" s="1"/>
  <c r="C10" i="31" s="1"/>
  <c r="I199" i="8"/>
  <c r="H13" i="30" s="1"/>
  <c r="H9" i="30" s="1"/>
  <c r="C8" i="32" s="1"/>
  <c r="AH75" i="28" l="1"/>
  <c r="AH47" i="30" s="1"/>
  <c r="K55" i="30"/>
  <c r="J46" i="30"/>
  <c r="G10" i="32" s="1"/>
  <c r="L17" i="28"/>
  <c r="K51" i="30"/>
  <c r="I51" i="28"/>
  <c r="I48" i="30" s="1"/>
  <c r="I45" i="30" s="1"/>
  <c r="G9" i="33" s="1"/>
  <c r="L22" i="28"/>
  <c r="K52" i="30"/>
  <c r="N9" i="27"/>
  <c r="M13" i="27"/>
  <c r="M49" i="30" s="1"/>
  <c r="V123" i="20"/>
  <c r="V154" i="20" s="1"/>
  <c r="N60" i="30"/>
  <c r="N153" i="20"/>
  <c r="Z40" i="20"/>
  <c r="P44" i="20"/>
  <c r="AB119" i="20"/>
  <c r="AC58" i="20"/>
  <c r="Z118" i="20"/>
  <c r="AA57" i="20"/>
  <c r="V61" i="30"/>
  <c r="AA113" i="20"/>
  <c r="AB52" i="20"/>
  <c r="Z51" i="20"/>
  <c r="Y112" i="20"/>
  <c r="Y54" i="20"/>
  <c r="X115" i="20"/>
  <c r="AA111" i="20"/>
  <c r="AB50" i="20"/>
  <c r="X116" i="20"/>
  <c r="Y55" i="20"/>
  <c r="Z49" i="20"/>
  <c r="Y110" i="20"/>
  <c r="Z114" i="20"/>
  <c r="AA53" i="20"/>
  <c r="X117" i="20"/>
  <c r="Y56" i="20"/>
  <c r="Y16" i="19"/>
  <c r="Y63" i="30" s="1"/>
  <c r="AA3" i="19"/>
  <c r="J159" i="20"/>
  <c r="J91" i="18"/>
  <c r="J66" i="30" s="1"/>
  <c r="J59" i="30" s="1"/>
  <c r="H10" i="32" s="1"/>
  <c r="L65" i="30"/>
  <c r="L155" i="20"/>
  <c r="K67" i="30"/>
  <c r="K58" i="30" s="1"/>
  <c r="H11" i="33" s="1"/>
  <c r="Y8" i="18"/>
  <c r="O33" i="18"/>
  <c r="N95" i="18"/>
  <c r="N105" i="18"/>
  <c r="X7" i="18"/>
  <c r="N32" i="18"/>
  <c r="M64" i="30" s="1"/>
  <c r="M144" i="20"/>
  <c r="M148" i="20" s="1"/>
  <c r="M104" i="18"/>
  <c r="M94" i="18"/>
  <c r="O30" i="18"/>
  <c r="L101" i="18"/>
  <c r="L62" i="30" s="1"/>
  <c r="P29" i="18"/>
  <c r="AA31" i="18"/>
  <c r="Y96" i="18"/>
  <c r="Y106" i="18"/>
  <c r="Y102" i="18"/>
  <c r="Y92" i="18"/>
  <c r="K7" i="25"/>
  <c r="K15" i="25"/>
  <c r="K76" i="30" s="1"/>
  <c r="K73" i="30" s="1"/>
  <c r="I11" i="33" s="1"/>
  <c r="K14" i="25"/>
  <c r="K75" i="30" s="1"/>
  <c r="K71" i="30" s="1"/>
  <c r="I11" i="34" s="1"/>
  <c r="E11" i="33"/>
  <c r="L79" i="30"/>
  <c r="M4" i="24"/>
  <c r="K3" i="24"/>
  <c r="J80" i="30"/>
  <c r="J72" i="30" s="1"/>
  <c r="I10" i="31" s="1"/>
  <c r="L18" i="23"/>
  <c r="K78" i="30"/>
  <c r="N99" i="8"/>
  <c r="O103" i="8"/>
  <c r="M100" i="8"/>
  <c r="M101" i="8" s="1"/>
  <c r="M75" i="8"/>
  <c r="M74" i="8" s="1"/>
  <c r="N76" i="8"/>
  <c r="O82" i="8"/>
  <c r="P78" i="8"/>
  <c r="Q92" i="8"/>
  <c r="N77" i="8"/>
  <c r="O83" i="8"/>
  <c r="O11" i="8"/>
  <c r="P24" i="8"/>
  <c r="P9" i="8"/>
  <c r="Q39" i="8"/>
  <c r="N8" i="8"/>
  <c r="N7" i="8" s="1"/>
  <c r="N12" i="8" s="1"/>
  <c r="O30" i="8"/>
  <c r="P4" i="8"/>
  <c r="P10" i="8"/>
  <c r="Q47" i="8"/>
  <c r="J199" i="8"/>
  <c r="I13" i="30" s="1"/>
  <c r="I9" i="30" s="1"/>
  <c r="C9" i="32" s="1"/>
  <c r="K16" i="30"/>
  <c r="K10" i="30" s="1"/>
  <c r="C11" i="31" s="1"/>
  <c r="AJ75" i="28" l="1"/>
  <c r="AJ47" i="30" s="1"/>
  <c r="AI75" i="28"/>
  <c r="AI47" i="30" s="1"/>
  <c r="L55" i="30"/>
  <c r="J51" i="28"/>
  <c r="J48" i="30" s="1"/>
  <c r="J45" i="30" s="1"/>
  <c r="G10" i="33" s="1"/>
  <c r="L52" i="30"/>
  <c r="M22" i="28"/>
  <c r="K46" i="30"/>
  <c r="G11" i="32" s="1"/>
  <c r="L51" i="30"/>
  <c r="M17" i="28"/>
  <c r="O9" i="27"/>
  <c r="N13" i="27"/>
  <c r="N49" i="30" s="1"/>
  <c r="W123" i="20"/>
  <c r="W61" i="30" s="1"/>
  <c r="O60" i="30"/>
  <c r="O153" i="20"/>
  <c r="AA40" i="20"/>
  <c r="Q44" i="20"/>
  <c r="AC119" i="20"/>
  <c r="AD58" i="20"/>
  <c r="AA118" i="20"/>
  <c r="AB57" i="20"/>
  <c r="Z55" i="20"/>
  <c r="Y116" i="20"/>
  <c r="AB113" i="20"/>
  <c r="AC52" i="20"/>
  <c r="Y117" i="20"/>
  <c r="Z56" i="20"/>
  <c r="Y115" i="20"/>
  <c r="Z54" i="20"/>
  <c r="AC50" i="20"/>
  <c r="AB111" i="20"/>
  <c r="AB53" i="20"/>
  <c r="AA114" i="20"/>
  <c r="AA49" i="20"/>
  <c r="Z110" i="20"/>
  <c r="Z112" i="20"/>
  <c r="AA51" i="20"/>
  <c r="K159" i="20"/>
  <c r="AB3" i="19"/>
  <c r="Z16" i="19"/>
  <c r="Z63" i="30" s="1"/>
  <c r="K91" i="18"/>
  <c r="K66" i="30" s="1"/>
  <c r="K59" i="30" s="1"/>
  <c r="H11" i="32" s="1"/>
  <c r="M101" i="18"/>
  <c r="M62" i="30" s="1"/>
  <c r="L67" i="30"/>
  <c r="L58" i="30" s="1"/>
  <c r="H12" i="33" s="1"/>
  <c r="M155" i="20"/>
  <c r="M65" i="30"/>
  <c r="P30" i="18"/>
  <c r="Y7" i="18"/>
  <c r="N144" i="20"/>
  <c r="N148" i="20" s="1"/>
  <c r="O32" i="18"/>
  <c r="N64" i="30" s="1"/>
  <c r="N94" i="18"/>
  <c r="N104" i="18"/>
  <c r="Z8" i="18"/>
  <c r="P33" i="18"/>
  <c r="O105" i="18"/>
  <c r="O95" i="18"/>
  <c r="Q29" i="18"/>
  <c r="AB31" i="18"/>
  <c r="Z96" i="18"/>
  <c r="Z106" i="18"/>
  <c r="Z102" i="18"/>
  <c r="Z92" i="18"/>
  <c r="L7" i="25"/>
  <c r="L14" i="25"/>
  <c r="L75" i="30" s="1"/>
  <c r="L15" i="25"/>
  <c r="L76" i="30" s="1"/>
  <c r="L73" i="30" s="1"/>
  <c r="I12" i="33" s="1"/>
  <c r="L71" i="30"/>
  <c r="I12" i="34" s="1"/>
  <c r="N4" i="24"/>
  <c r="M79" i="30"/>
  <c r="L3" i="24"/>
  <c r="K80" i="30"/>
  <c r="K72" i="30" s="1"/>
  <c r="I11" i="31" s="1"/>
  <c r="E12" i="33"/>
  <c r="M18" i="23"/>
  <c r="L78" i="30"/>
  <c r="P103" i="8"/>
  <c r="O99" i="8"/>
  <c r="N100" i="8"/>
  <c r="N101" i="8"/>
  <c r="O77" i="8"/>
  <c r="P83" i="8"/>
  <c r="N75" i="8"/>
  <c r="N74" i="8" s="1"/>
  <c r="O76" i="8"/>
  <c r="O75" i="8" s="1"/>
  <c r="O74" i="8" s="1"/>
  <c r="P82" i="8"/>
  <c r="Q78" i="8"/>
  <c r="R92" i="8"/>
  <c r="Q9" i="8"/>
  <c r="R39" i="8"/>
  <c r="Q4" i="8"/>
  <c r="Q10" i="8"/>
  <c r="R47" i="8"/>
  <c r="O8" i="8"/>
  <c r="O7" i="8" s="1"/>
  <c r="O12" i="8" s="1"/>
  <c r="P30" i="8"/>
  <c r="P11" i="8"/>
  <c r="Q24" i="8"/>
  <c r="K199" i="8"/>
  <c r="J13" i="30" s="1"/>
  <c r="J9" i="30" s="1"/>
  <c r="C10" i="32" s="1"/>
  <c r="L16" i="30"/>
  <c r="L10" i="30" s="1"/>
  <c r="C12" i="31" s="1"/>
  <c r="M55" i="30" l="1"/>
  <c r="L46" i="30"/>
  <c r="G12" i="32" s="1"/>
  <c r="M51" i="30"/>
  <c r="N17" i="28"/>
  <c r="M52" i="30"/>
  <c r="N22" i="28"/>
  <c r="K51" i="28"/>
  <c r="K48" i="30" s="1"/>
  <c r="K45" i="30" s="1"/>
  <c r="G11" i="33" s="1"/>
  <c r="P9" i="27"/>
  <c r="O13" i="27"/>
  <c r="O49" i="30" s="1"/>
  <c r="W154" i="20"/>
  <c r="X123" i="20"/>
  <c r="X61" i="30" s="1"/>
  <c r="P60" i="30"/>
  <c r="P153" i="20"/>
  <c r="AB40" i="20"/>
  <c r="R44" i="20"/>
  <c r="AD119" i="20"/>
  <c r="AE58" i="20"/>
  <c r="AC57" i="20"/>
  <c r="AB118" i="20"/>
  <c r="X154" i="20"/>
  <c r="AB49" i="20"/>
  <c r="AA110" i="20"/>
  <c r="AC111" i="20"/>
  <c r="AD50" i="20"/>
  <c r="AA56" i="20"/>
  <c r="Z117" i="20"/>
  <c r="AB51" i="20"/>
  <c r="AA112" i="20"/>
  <c r="Z116" i="20"/>
  <c r="AA55" i="20"/>
  <c r="AB114" i="20"/>
  <c r="AC53" i="20"/>
  <c r="Z115" i="20"/>
  <c r="AA54" i="20"/>
  <c r="AC113" i="20"/>
  <c r="AD52" i="20"/>
  <c r="AA16" i="19"/>
  <c r="AA63" i="30" s="1"/>
  <c r="AC3" i="19"/>
  <c r="L91" i="18"/>
  <c r="L66" i="30" s="1"/>
  <c r="L59" i="30" s="1"/>
  <c r="H12" i="32" s="1"/>
  <c r="Z7" i="18"/>
  <c r="O94" i="18"/>
  <c r="O104" i="18"/>
  <c r="P32" i="18"/>
  <c r="O64" i="30" s="1"/>
  <c r="O144" i="20"/>
  <c r="O148" i="20" s="1"/>
  <c r="M67" i="30"/>
  <c r="M58" i="30" s="1"/>
  <c r="H13" i="33" s="1"/>
  <c r="Q30" i="18"/>
  <c r="N101" i="18"/>
  <c r="N62" i="30" s="1"/>
  <c r="AA8" i="18"/>
  <c r="P105" i="18"/>
  <c r="P95" i="18"/>
  <c r="Q33" i="18"/>
  <c r="N155" i="20"/>
  <c r="N65" i="30"/>
  <c r="L159" i="20"/>
  <c r="R29" i="18"/>
  <c r="AA106" i="18"/>
  <c r="AA96" i="18"/>
  <c r="AA102" i="18"/>
  <c r="AA92" i="18"/>
  <c r="AC31" i="18"/>
  <c r="M7" i="25"/>
  <c r="M15" i="25"/>
  <c r="M76" i="30" s="1"/>
  <c r="M73" i="30" s="1"/>
  <c r="I13" i="33" s="1"/>
  <c r="M14" i="25"/>
  <c r="M75" i="30" s="1"/>
  <c r="M71" i="30" s="1"/>
  <c r="I13" i="34" s="1"/>
  <c r="E13" i="33"/>
  <c r="L80" i="30"/>
  <c r="L72" i="30" s="1"/>
  <c r="I12" i="31" s="1"/>
  <c r="M3" i="24"/>
  <c r="O4" i="24"/>
  <c r="N79" i="30"/>
  <c r="N18" i="23"/>
  <c r="M78" i="30"/>
  <c r="O100" i="8"/>
  <c r="O101" i="8"/>
  <c r="P99" i="8"/>
  <c r="Q103" i="8"/>
  <c r="R78" i="8"/>
  <c r="S92" i="8"/>
  <c r="P77" i="8"/>
  <c r="Q83" i="8"/>
  <c r="P76" i="8"/>
  <c r="P75" i="8" s="1"/>
  <c r="P74" i="8" s="1"/>
  <c r="Q82" i="8"/>
  <c r="P8" i="8"/>
  <c r="P7" i="8" s="1"/>
  <c r="P12" i="8" s="1"/>
  <c r="Q30" i="8"/>
  <c r="R4" i="8"/>
  <c r="R10" i="8"/>
  <c r="S47" i="8"/>
  <c r="R9" i="8"/>
  <c r="S39" i="8"/>
  <c r="Q11" i="8"/>
  <c r="R24" i="8"/>
  <c r="L199" i="8"/>
  <c r="K13" i="30" s="1"/>
  <c r="K9" i="30" s="1"/>
  <c r="C11" i="32" s="1"/>
  <c r="M16" i="30"/>
  <c r="M10" i="30" s="1"/>
  <c r="C13" i="31" s="1"/>
  <c r="N55" i="30" l="1"/>
  <c r="N51" i="30"/>
  <c r="O17" i="28"/>
  <c r="L51" i="28"/>
  <c r="L48" i="30" s="1"/>
  <c r="L45" i="30" s="1"/>
  <c r="G12" i="33" s="1"/>
  <c r="M46" i="30"/>
  <c r="G13" i="32" s="1"/>
  <c r="N52" i="30"/>
  <c r="O22" i="28"/>
  <c r="Q9" i="27"/>
  <c r="P13" i="27"/>
  <c r="P49" i="30" s="1"/>
  <c r="Y123" i="20"/>
  <c r="Q153" i="20"/>
  <c r="Q60" i="30"/>
  <c r="AC40" i="20"/>
  <c r="S44" i="20"/>
  <c r="AE119" i="20"/>
  <c r="AF58" i="20"/>
  <c r="AC118" i="20"/>
  <c r="AD57" i="20"/>
  <c r="Y154" i="20"/>
  <c r="Y61" i="30"/>
  <c r="AA115" i="20"/>
  <c r="AB54" i="20"/>
  <c r="AA116" i="20"/>
  <c r="AB55" i="20"/>
  <c r="AA117" i="20"/>
  <c r="AB56" i="20"/>
  <c r="AB110" i="20"/>
  <c r="AC49" i="20"/>
  <c r="AE52" i="20"/>
  <c r="AD113" i="20"/>
  <c r="AC114" i="20"/>
  <c r="AD53" i="20"/>
  <c r="AD111" i="20"/>
  <c r="AE50" i="20"/>
  <c r="AB112" i="20"/>
  <c r="AC51" i="20"/>
  <c r="AD3" i="19"/>
  <c r="AB16" i="19"/>
  <c r="AB63" i="30" s="1"/>
  <c r="M159" i="20"/>
  <c r="M91" i="18"/>
  <c r="M66" i="30" s="1"/>
  <c r="M59" i="30" s="1"/>
  <c r="H13" i="32" s="1"/>
  <c r="N67" i="30"/>
  <c r="N58" i="30" s="1"/>
  <c r="H14" i="33" s="1"/>
  <c r="O101" i="18"/>
  <c r="O62" i="30" s="1"/>
  <c r="AB8" i="18"/>
  <c r="R33" i="18"/>
  <c r="Q105" i="18"/>
  <c r="Q95" i="18"/>
  <c r="R30" i="18"/>
  <c r="O155" i="20"/>
  <c r="O65" i="30"/>
  <c r="AA7" i="18"/>
  <c r="Q32" i="18"/>
  <c r="P64" i="30" s="1"/>
  <c r="P144" i="20"/>
  <c r="P148" i="20" s="1"/>
  <c r="P94" i="18"/>
  <c r="P104" i="18"/>
  <c r="S29" i="18"/>
  <c r="AB96" i="18"/>
  <c r="AB106" i="18"/>
  <c r="AB92" i="18"/>
  <c r="AB102" i="18"/>
  <c r="AD31" i="18"/>
  <c r="N7" i="25"/>
  <c r="N15" i="25"/>
  <c r="N76" i="30" s="1"/>
  <c r="N73" i="30" s="1"/>
  <c r="I14" i="33" s="1"/>
  <c r="N14" i="25"/>
  <c r="N75" i="30" s="1"/>
  <c r="N71" i="30"/>
  <c r="I14" i="34" s="1"/>
  <c r="M80" i="30"/>
  <c r="N3" i="24"/>
  <c r="O79" i="30"/>
  <c r="P4" i="24"/>
  <c r="M72" i="30"/>
  <c r="I13" i="31" s="1"/>
  <c r="E14" i="33"/>
  <c r="N78" i="30"/>
  <c r="O18" i="23"/>
  <c r="Q99" i="8"/>
  <c r="R103" i="8"/>
  <c r="P100" i="8"/>
  <c r="P101" i="8" s="1"/>
  <c r="Q77" i="8"/>
  <c r="R83" i="8"/>
  <c r="Q76" i="8"/>
  <c r="Q75" i="8" s="1"/>
  <c r="Q74" i="8" s="1"/>
  <c r="R82" i="8"/>
  <c r="S78" i="8"/>
  <c r="T92" i="8"/>
  <c r="S4" i="8"/>
  <c r="S9" i="8"/>
  <c r="T39" i="8"/>
  <c r="R11" i="8"/>
  <c r="S24" i="8"/>
  <c r="S10" i="8"/>
  <c r="T47" i="8"/>
  <c r="Q8" i="8"/>
  <c r="Q7" i="8" s="1"/>
  <c r="Q12" i="8" s="1"/>
  <c r="R30" i="8"/>
  <c r="M199" i="8"/>
  <c r="L13" i="30" s="1"/>
  <c r="L9" i="30" s="1"/>
  <c r="C12" i="32" s="1"/>
  <c r="N16" i="30"/>
  <c r="N10" i="30" s="1"/>
  <c r="C14" i="31" s="1"/>
  <c r="O55" i="30" l="1"/>
  <c r="N46" i="30"/>
  <c r="G14" i="32" s="1"/>
  <c r="M51" i="28"/>
  <c r="M48" i="30" s="1"/>
  <c r="M45" i="30" s="1"/>
  <c r="G13" i="33" s="1"/>
  <c r="P22" i="28"/>
  <c r="O52" i="30"/>
  <c r="O51" i="30"/>
  <c r="P17" i="28"/>
  <c r="R9" i="27"/>
  <c r="Q13" i="27"/>
  <c r="Q49" i="30" s="1"/>
  <c r="Z123" i="20"/>
  <c r="Z61" i="30" s="1"/>
  <c r="R153" i="20"/>
  <c r="R60" i="30"/>
  <c r="AD40" i="20"/>
  <c r="T44" i="20"/>
  <c r="AF119" i="20"/>
  <c r="AG58" i="20"/>
  <c r="AD118" i="20"/>
  <c r="AE57" i="20"/>
  <c r="Z154" i="20"/>
  <c r="AE113" i="20"/>
  <c r="AF52" i="20"/>
  <c r="AC54" i="20"/>
  <c r="AB115" i="20"/>
  <c r="AD51" i="20"/>
  <c r="AC112" i="20"/>
  <c r="AD114" i="20"/>
  <c r="AE53" i="20"/>
  <c r="AC110" i="20"/>
  <c r="AD49" i="20"/>
  <c r="AC55" i="20"/>
  <c r="AB116" i="20"/>
  <c r="AF50" i="20"/>
  <c r="AE111" i="20"/>
  <c r="AB117" i="20"/>
  <c r="AC56" i="20"/>
  <c r="AC16" i="19"/>
  <c r="AC63" i="30" s="1"/>
  <c r="AE3" i="19"/>
  <c r="N159" i="20"/>
  <c r="N91" i="18"/>
  <c r="N66" i="30" s="1"/>
  <c r="N59" i="30" s="1"/>
  <c r="H14" i="32" s="1"/>
  <c r="AC8" i="18"/>
  <c r="R105" i="18"/>
  <c r="R95" i="18"/>
  <c r="S33" i="18"/>
  <c r="O67" i="30"/>
  <c r="O58" i="30" s="1"/>
  <c r="H15" i="33" s="1"/>
  <c r="S30" i="18"/>
  <c r="P101" i="18"/>
  <c r="P62" i="30" s="1"/>
  <c r="P65" i="30"/>
  <c r="P155" i="20"/>
  <c r="AB7" i="18"/>
  <c r="R32" i="18"/>
  <c r="Q64" i="30" s="1"/>
  <c r="Q144" i="20"/>
  <c r="Q148" i="20" s="1"/>
  <c r="Q94" i="18"/>
  <c r="Q104" i="18"/>
  <c r="T29" i="18"/>
  <c r="AE31" i="18"/>
  <c r="AC102" i="18"/>
  <c r="AC92" i="18"/>
  <c r="AC106" i="18"/>
  <c r="AC96" i="18"/>
  <c r="O7" i="25"/>
  <c r="O15" i="25"/>
  <c r="O76" i="30" s="1"/>
  <c r="O73" i="30" s="1"/>
  <c r="I15" i="33" s="1"/>
  <c r="O14" i="25"/>
  <c r="O75" i="30" s="1"/>
  <c r="O71" i="30" s="1"/>
  <c r="I15" i="34" s="1"/>
  <c r="E15" i="33"/>
  <c r="O3" i="24"/>
  <c r="N80" i="30"/>
  <c r="N72" i="30" s="1"/>
  <c r="I14" i="31" s="1"/>
  <c r="P79" i="30"/>
  <c r="Q4" i="24"/>
  <c r="O78" i="30"/>
  <c r="P18" i="23"/>
  <c r="R99" i="8"/>
  <c r="S103" i="8"/>
  <c r="Q100" i="8"/>
  <c r="Q101" i="8" s="1"/>
  <c r="R76" i="8"/>
  <c r="S82" i="8"/>
  <c r="R77" i="8"/>
  <c r="S83" i="8"/>
  <c r="T78" i="8"/>
  <c r="U92" i="8"/>
  <c r="T10" i="8"/>
  <c r="U47" i="8"/>
  <c r="T9" i="8"/>
  <c r="U39" i="8"/>
  <c r="R8" i="8"/>
  <c r="R7" i="8" s="1"/>
  <c r="R12" i="8" s="1"/>
  <c r="S30" i="8"/>
  <c r="S11" i="8"/>
  <c r="T24" i="8"/>
  <c r="T4" i="8"/>
  <c r="N199" i="8"/>
  <c r="M13" i="30" s="1"/>
  <c r="M9" i="30" s="1"/>
  <c r="C13" i="32" s="1"/>
  <c r="O16" i="30"/>
  <c r="O10" i="30" s="1"/>
  <c r="C15" i="31" s="1"/>
  <c r="P55" i="30" l="1"/>
  <c r="P51" i="30"/>
  <c r="Q17" i="28"/>
  <c r="Q22" i="28"/>
  <c r="P52" i="30"/>
  <c r="O46" i="30"/>
  <c r="G15" i="32" s="1"/>
  <c r="N51" i="28"/>
  <c r="N48" i="30" s="1"/>
  <c r="N45" i="30" s="1"/>
  <c r="G14" i="33" s="1"/>
  <c r="S9" i="27"/>
  <c r="R13" i="27"/>
  <c r="R49" i="30" s="1"/>
  <c r="AA123" i="20"/>
  <c r="S153" i="20"/>
  <c r="S60" i="30"/>
  <c r="U44" i="20"/>
  <c r="AE40" i="20"/>
  <c r="AG119" i="20"/>
  <c r="AH58" i="20"/>
  <c r="AE118" i="20"/>
  <c r="AF57" i="20"/>
  <c r="AA61" i="30"/>
  <c r="AA154" i="20"/>
  <c r="AG50" i="20"/>
  <c r="AF111" i="20"/>
  <c r="AE49" i="20"/>
  <c r="AD110" i="20"/>
  <c r="AF113" i="20"/>
  <c r="AG52" i="20"/>
  <c r="AC117" i="20"/>
  <c r="AD56" i="20"/>
  <c r="AD112" i="20"/>
  <c r="AE51" i="20"/>
  <c r="AC116" i="20"/>
  <c r="AD55" i="20"/>
  <c r="AF53" i="20"/>
  <c r="AE114" i="20"/>
  <c r="AC115" i="20"/>
  <c r="AB123" i="20" s="1"/>
  <c r="AD54" i="20"/>
  <c r="AD16" i="19"/>
  <c r="AD63" i="30" s="1"/>
  <c r="AF3" i="19"/>
  <c r="O159" i="20"/>
  <c r="O91" i="18"/>
  <c r="O66" i="30" s="1"/>
  <c r="O59" i="30" s="1"/>
  <c r="H15" i="32" s="1"/>
  <c r="AC7" i="18"/>
  <c r="R94" i="18"/>
  <c r="R104" i="18"/>
  <c r="S32" i="18"/>
  <c r="R64" i="30" s="1"/>
  <c r="R144" i="20"/>
  <c r="R148" i="20" s="1"/>
  <c r="T30" i="18"/>
  <c r="P67" i="30"/>
  <c r="P58" i="30" s="1"/>
  <c r="H16" i="33" s="1"/>
  <c r="Q65" i="30"/>
  <c r="Q155" i="20"/>
  <c r="Q101" i="18"/>
  <c r="Q62" i="30" s="1"/>
  <c r="AD8" i="18"/>
  <c r="S105" i="18"/>
  <c r="S95" i="18"/>
  <c r="T33" i="18"/>
  <c r="U29" i="18"/>
  <c r="AD96" i="18"/>
  <c r="AD106" i="18"/>
  <c r="AD102" i="18"/>
  <c r="AD92" i="18"/>
  <c r="AF31" i="18"/>
  <c r="P7" i="25"/>
  <c r="P14" i="25"/>
  <c r="P75" i="30" s="1"/>
  <c r="P71" i="30" s="1"/>
  <c r="I16" i="34" s="1"/>
  <c r="P15" i="25"/>
  <c r="P76" i="30" s="1"/>
  <c r="P73" i="30" s="1"/>
  <c r="I16" i="33" s="1"/>
  <c r="O80" i="30"/>
  <c r="O72" i="30" s="1"/>
  <c r="I15" i="31" s="1"/>
  <c r="P3" i="24"/>
  <c r="Q79" i="30"/>
  <c r="R4" i="24"/>
  <c r="E16" i="33"/>
  <c r="P78" i="30"/>
  <c r="Q18" i="23"/>
  <c r="T103" i="8"/>
  <c r="S99" i="8"/>
  <c r="R100" i="8"/>
  <c r="R101" i="8"/>
  <c r="S77" i="8"/>
  <c r="T83" i="8"/>
  <c r="U78" i="8"/>
  <c r="V92" i="8"/>
  <c r="S76" i="8"/>
  <c r="S75" i="8" s="1"/>
  <c r="S74" i="8" s="1"/>
  <c r="T82" i="8"/>
  <c r="R75" i="8"/>
  <c r="R74" i="8" s="1"/>
  <c r="U9" i="8"/>
  <c r="V39" i="8"/>
  <c r="T11" i="8"/>
  <c r="U24" i="8"/>
  <c r="S8" i="8"/>
  <c r="S7" i="8" s="1"/>
  <c r="S12" i="8" s="1"/>
  <c r="T30" i="8"/>
  <c r="U10" i="8"/>
  <c r="V47" i="8"/>
  <c r="U4" i="8"/>
  <c r="P16" i="30"/>
  <c r="P10" i="30" s="1"/>
  <c r="C16" i="31" s="1"/>
  <c r="O199" i="8"/>
  <c r="N13" i="30" s="1"/>
  <c r="N9" i="30" s="1"/>
  <c r="C14" i="32" s="1"/>
  <c r="Q55" i="30" l="1"/>
  <c r="Q51" i="30"/>
  <c r="R17" i="28"/>
  <c r="O51" i="28"/>
  <c r="O48" i="30" s="1"/>
  <c r="O45" i="30" s="1"/>
  <c r="G15" i="33" s="1"/>
  <c r="Q52" i="30"/>
  <c r="R22" i="28"/>
  <c r="P46" i="30"/>
  <c r="G16" i="32" s="1"/>
  <c r="T9" i="27"/>
  <c r="S13" i="27"/>
  <c r="S49" i="30" s="1"/>
  <c r="T153" i="20"/>
  <c r="T60" i="30"/>
  <c r="AF40" i="20"/>
  <c r="V44" i="20"/>
  <c r="AH119" i="20"/>
  <c r="AI58" i="20"/>
  <c r="AG57" i="20"/>
  <c r="AF118" i="20"/>
  <c r="AF114" i="20"/>
  <c r="AG53" i="20"/>
  <c r="AG113" i="20"/>
  <c r="AH52" i="20"/>
  <c r="AD115" i="20"/>
  <c r="AE54" i="20"/>
  <c r="AD116" i="20"/>
  <c r="AE55" i="20"/>
  <c r="AB61" i="30"/>
  <c r="AB154" i="20"/>
  <c r="AG111" i="20"/>
  <c r="AH50" i="20"/>
  <c r="AE56" i="20"/>
  <c r="AD117" i="20"/>
  <c r="AE112" i="20"/>
  <c r="AF51" i="20"/>
  <c r="AF49" i="20"/>
  <c r="AE110" i="20"/>
  <c r="AE16" i="19"/>
  <c r="AE63" i="30" s="1"/>
  <c r="AG3" i="19"/>
  <c r="P91" i="18"/>
  <c r="P66" i="30" s="1"/>
  <c r="P59" i="30" s="1"/>
  <c r="H16" i="32" s="1"/>
  <c r="P159" i="20"/>
  <c r="Q67" i="30"/>
  <c r="Q58" i="30" s="1"/>
  <c r="H17" i="33" s="1"/>
  <c r="R155" i="20"/>
  <c r="R65" i="30"/>
  <c r="AD7" i="18"/>
  <c r="T32" i="18"/>
  <c r="S64" i="30" s="1"/>
  <c r="S104" i="18"/>
  <c r="S94" i="18"/>
  <c r="S144" i="20"/>
  <c r="S148" i="20" s="1"/>
  <c r="R101" i="18"/>
  <c r="R62" i="30" s="1"/>
  <c r="AE8" i="18"/>
  <c r="T95" i="18"/>
  <c r="T105" i="18"/>
  <c r="U33" i="18"/>
  <c r="U30" i="18"/>
  <c r="V29" i="18"/>
  <c r="AG31" i="18"/>
  <c r="AE102" i="18"/>
  <c r="AE92" i="18"/>
  <c r="AE106" i="18"/>
  <c r="AE96" i="18"/>
  <c r="Q7" i="25"/>
  <c r="Q14" i="25"/>
  <c r="Q75" i="30" s="1"/>
  <c r="Q15" i="25"/>
  <c r="Q76" i="30" s="1"/>
  <c r="Q73" i="30" s="1"/>
  <c r="I17" i="33" s="1"/>
  <c r="Q71" i="30"/>
  <c r="I17" i="34" s="1"/>
  <c r="P80" i="30"/>
  <c r="P72" i="30" s="1"/>
  <c r="I16" i="31" s="1"/>
  <c r="Q3" i="24"/>
  <c r="E17" i="33"/>
  <c r="S4" i="24"/>
  <c r="R79" i="30"/>
  <c r="R18" i="23"/>
  <c r="Q78" i="30"/>
  <c r="S100" i="8"/>
  <c r="S101" i="8"/>
  <c r="T99" i="8"/>
  <c r="U103" i="8"/>
  <c r="V78" i="8"/>
  <c r="W92" i="8"/>
  <c r="T76" i="8"/>
  <c r="T75" i="8" s="1"/>
  <c r="T74" i="8" s="1"/>
  <c r="U82" i="8"/>
  <c r="T77" i="8"/>
  <c r="U83" i="8"/>
  <c r="U11" i="8"/>
  <c r="V24" i="8"/>
  <c r="V10" i="8"/>
  <c r="W47" i="8"/>
  <c r="T8" i="8"/>
  <c r="T7" i="8" s="1"/>
  <c r="T12" i="8" s="1"/>
  <c r="U30" i="8"/>
  <c r="V9" i="8"/>
  <c r="W39" i="8"/>
  <c r="V4" i="8"/>
  <c r="P199" i="8"/>
  <c r="O13" i="30" s="1"/>
  <c r="O9" i="30" s="1"/>
  <c r="C15" i="32" s="1"/>
  <c r="Q16" i="30"/>
  <c r="Q10" i="30" s="1"/>
  <c r="C17" i="31" s="1"/>
  <c r="R55" i="30" l="1"/>
  <c r="R52" i="30"/>
  <c r="S22" i="28"/>
  <c r="R51" i="30"/>
  <c r="S17" i="28"/>
  <c r="P51" i="28"/>
  <c r="P48" i="30" s="1"/>
  <c r="P45" i="30" s="1"/>
  <c r="G16" i="33" s="1"/>
  <c r="Q46" i="30"/>
  <c r="G17" i="32" s="1"/>
  <c r="U9" i="27"/>
  <c r="T13" i="27"/>
  <c r="T49" i="30" s="1"/>
  <c r="AC123" i="20"/>
  <c r="AC61" i="30" s="1"/>
  <c r="AG40" i="20"/>
  <c r="W44" i="20"/>
  <c r="U60" i="30"/>
  <c r="U153" i="20"/>
  <c r="AI119" i="20"/>
  <c r="AJ58" i="20"/>
  <c r="AG118" i="20"/>
  <c r="AH57" i="20"/>
  <c r="AI50" i="20"/>
  <c r="AH111" i="20"/>
  <c r="AE116" i="20"/>
  <c r="AF55" i="20"/>
  <c r="AI52" i="20"/>
  <c r="AH113" i="20"/>
  <c r="AC154" i="20"/>
  <c r="AF110" i="20"/>
  <c r="AG49" i="20"/>
  <c r="AE115" i="20"/>
  <c r="AF54" i="20"/>
  <c r="AG114" i="20"/>
  <c r="AH53" i="20"/>
  <c r="AG51" i="20"/>
  <c r="AF112" i="20"/>
  <c r="AE117" i="20"/>
  <c r="AF56" i="20"/>
  <c r="AH3" i="19"/>
  <c r="AF16" i="19"/>
  <c r="AF63" i="30" s="1"/>
  <c r="Q159" i="20"/>
  <c r="Q91" i="18"/>
  <c r="Q66" i="30" s="1"/>
  <c r="Q59" i="30" s="1"/>
  <c r="H17" i="32" s="1"/>
  <c r="V30" i="18"/>
  <c r="S155" i="20"/>
  <c r="S65" i="30"/>
  <c r="AE7" i="18"/>
  <c r="T104" i="18"/>
  <c r="T94" i="18"/>
  <c r="U32" i="18"/>
  <c r="T64" i="30" s="1"/>
  <c r="T144" i="20"/>
  <c r="T148" i="20" s="1"/>
  <c r="R67" i="30"/>
  <c r="R58" i="30" s="1"/>
  <c r="H18" i="33" s="1"/>
  <c r="AF8" i="18"/>
  <c r="U105" i="18"/>
  <c r="V33" i="18"/>
  <c r="U95" i="18"/>
  <c r="S101" i="18"/>
  <c r="S62" i="30" s="1"/>
  <c r="W29" i="18"/>
  <c r="AF106" i="18"/>
  <c r="AF96" i="18"/>
  <c r="AF102" i="18"/>
  <c r="AF92" i="18"/>
  <c r="AH31" i="18"/>
  <c r="R7" i="25"/>
  <c r="R15" i="25"/>
  <c r="R76" i="30" s="1"/>
  <c r="R73" i="30" s="1"/>
  <c r="I18" i="33" s="1"/>
  <c r="R14" i="25"/>
  <c r="R75" i="30" s="1"/>
  <c r="R71" i="30" s="1"/>
  <c r="I18" i="34" s="1"/>
  <c r="R3" i="24"/>
  <c r="Q80" i="30"/>
  <c r="Q72" i="30" s="1"/>
  <c r="I17" i="31" s="1"/>
  <c r="S79" i="30"/>
  <c r="T4" i="24"/>
  <c r="E18" i="33"/>
  <c r="R78" i="30"/>
  <c r="S18" i="23"/>
  <c r="U99" i="8"/>
  <c r="V103" i="8"/>
  <c r="T100" i="8"/>
  <c r="T101" i="8" s="1"/>
  <c r="U76" i="8"/>
  <c r="V82" i="8"/>
  <c r="U77" i="8"/>
  <c r="V83" i="8"/>
  <c r="W78" i="8"/>
  <c r="X92" i="8"/>
  <c r="W9" i="8"/>
  <c r="X39" i="8"/>
  <c r="W10" i="8"/>
  <c r="X47" i="8"/>
  <c r="W4" i="8"/>
  <c r="U8" i="8"/>
  <c r="U7" i="8" s="1"/>
  <c r="U12" i="8" s="1"/>
  <c r="V30" i="8"/>
  <c r="V11" i="8"/>
  <c r="W24" i="8"/>
  <c r="Q199" i="8"/>
  <c r="P13" i="30" s="1"/>
  <c r="P9" i="30" s="1"/>
  <c r="C16" i="32" s="1"/>
  <c r="R16" i="30"/>
  <c r="R10" i="30" s="1"/>
  <c r="C18" i="31" s="1"/>
  <c r="S55" i="30" l="1"/>
  <c r="R46" i="30"/>
  <c r="G18" i="32" s="1"/>
  <c r="T22" i="28"/>
  <c r="S52" i="30"/>
  <c r="S51" i="30"/>
  <c r="T17" i="28"/>
  <c r="Q51" i="28"/>
  <c r="Q48" i="30" s="1"/>
  <c r="Q45" i="30" s="1"/>
  <c r="G17" i="33" s="1"/>
  <c r="V9" i="27"/>
  <c r="U13" i="27"/>
  <c r="U49" i="30" s="1"/>
  <c r="AD123" i="20"/>
  <c r="V60" i="30"/>
  <c r="V153" i="20"/>
  <c r="X44" i="20"/>
  <c r="AH40" i="20"/>
  <c r="AD61" i="30"/>
  <c r="AJ119" i="20"/>
  <c r="AK58" i="20"/>
  <c r="AK119" i="20" s="1"/>
  <c r="AH118" i="20"/>
  <c r="AI57" i="20"/>
  <c r="AD154" i="20"/>
  <c r="AH51" i="20"/>
  <c r="AG112" i="20"/>
  <c r="AF116" i="20"/>
  <c r="AG55" i="20"/>
  <c r="AG56" i="20"/>
  <c r="AF117" i="20"/>
  <c r="AH114" i="20"/>
  <c r="AI53" i="20"/>
  <c r="AH49" i="20"/>
  <c r="AG110" i="20"/>
  <c r="AG54" i="20"/>
  <c r="AF115" i="20"/>
  <c r="AI113" i="20"/>
  <c r="AJ52" i="20"/>
  <c r="AJ50" i="20"/>
  <c r="AI111" i="20"/>
  <c r="AG16" i="19"/>
  <c r="AG63" i="30" s="1"/>
  <c r="AI3" i="19"/>
  <c r="R91" i="18"/>
  <c r="R66" i="30" s="1"/>
  <c r="R59" i="30" s="1"/>
  <c r="H18" i="32" s="1"/>
  <c r="R159" i="20"/>
  <c r="S67" i="30"/>
  <c r="S58" i="30" s="1"/>
  <c r="H19" i="33" s="1"/>
  <c r="T155" i="20"/>
  <c r="T65" i="30"/>
  <c r="AF7" i="18"/>
  <c r="V32" i="18"/>
  <c r="U64" i="30" s="1"/>
  <c r="U94" i="18"/>
  <c r="U104" i="18"/>
  <c r="U144" i="20"/>
  <c r="U148" i="20" s="1"/>
  <c r="W30" i="18"/>
  <c r="T101" i="18"/>
  <c r="T62" i="30" s="1"/>
  <c r="AG8" i="18"/>
  <c r="V95" i="18"/>
  <c r="V105" i="18"/>
  <c r="W33" i="18"/>
  <c r="X29" i="18"/>
  <c r="AI31" i="18"/>
  <c r="AG106" i="18"/>
  <c r="AG96" i="18"/>
  <c r="AG102" i="18"/>
  <c r="AG92" i="18"/>
  <c r="S7" i="25"/>
  <c r="S15" i="25"/>
  <c r="S76" i="30" s="1"/>
  <c r="S73" i="30" s="1"/>
  <c r="I19" i="33" s="1"/>
  <c r="S14" i="25"/>
  <c r="S75" i="30" s="1"/>
  <c r="S71" i="30"/>
  <c r="I19" i="34" s="1"/>
  <c r="U4" i="24"/>
  <c r="T79" i="30"/>
  <c r="E19" i="33"/>
  <c r="S3" i="24"/>
  <c r="R80" i="30"/>
  <c r="R72" i="30" s="1"/>
  <c r="I18" i="31" s="1"/>
  <c r="S78" i="30"/>
  <c r="T18" i="23"/>
  <c r="V99" i="8"/>
  <c r="W103" i="8"/>
  <c r="U100" i="8"/>
  <c r="U101" i="8" s="1"/>
  <c r="V77" i="8"/>
  <c r="W83" i="8"/>
  <c r="X78" i="8"/>
  <c r="Y92" i="8"/>
  <c r="V76" i="8"/>
  <c r="V75" i="8" s="1"/>
  <c r="V74" i="8" s="1"/>
  <c r="W82" i="8"/>
  <c r="U75" i="8"/>
  <c r="U74" i="8" s="1"/>
  <c r="V8" i="8"/>
  <c r="V7" i="8" s="1"/>
  <c r="V12" i="8" s="1"/>
  <c r="W30" i="8"/>
  <c r="X10" i="8"/>
  <c r="Y47" i="8"/>
  <c r="X4" i="8"/>
  <c r="X9" i="8"/>
  <c r="Y39" i="8"/>
  <c r="W11" i="8"/>
  <c r="X24" i="8"/>
  <c r="R199" i="8"/>
  <c r="Q13" i="30" s="1"/>
  <c r="Q9" i="30" s="1"/>
  <c r="C17" i="32" s="1"/>
  <c r="S16" i="30"/>
  <c r="S10" i="30" s="1"/>
  <c r="C19" i="31" s="1"/>
  <c r="T55" i="30" l="1"/>
  <c r="S46" i="30"/>
  <c r="G19" i="32" s="1"/>
  <c r="R51" i="28"/>
  <c r="R48" i="30" s="1"/>
  <c r="R45" i="30" s="1"/>
  <c r="G18" i="33" s="1"/>
  <c r="T51" i="30"/>
  <c r="U17" i="28"/>
  <c r="T52" i="30"/>
  <c r="U22" i="28"/>
  <c r="W9" i="27"/>
  <c r="V13" i="27"/>
  <c r="V49" i="30" s="1"/>
  <c r="AE123" i="20"/>
  <c r="AE61" i="30" s="1"/>
  <c r="W153" i="20"/>
  <c r="W60" i="30"/>
  <c r="AI40" i="20"/>
  <c r="Y44" i="20"/>
  <c r="AI118" i="20"/>
  <c r="AJ57" i="20"/>
  <c r="AE154" i="20"/>
  <c r="AH110" i="20"/>
  <c r="AI49" i="20"/>
  <c r="AG117" i="20"/>
  <c r="AH56" i="20"/>
  <c r="AH112" i="20"/>
  <c r="AI51" i="20"/>
  <c r="AK50" i="20"/>
  <c r="AK111" i="20" s="1"/>
  <c r="AJ111" i="20"/>
  <c r="AG115" i="20"/>
  <c r="AH54" i="20"/>
  <c r="AJ53" i="20"/>
  <c r="AI114" i="20"/>
  <c r="AH55" i="20"/>
  <c r="AG116" i="20"/>
  <c r="AJ113" i="20"/>
  <c r="AK52" i="20"/>
  <c r="AK113" i="20" s="1"/>
  <c r="AJ3" i="19"/>
  <c r="AH16" i="19"/>
  <c r="AH63" i="30" s="1"/>
  <c r="S159" i="20"/>
  <c r="S91" i="18"/>
  <c r="S66" i="30" s="1"/>
  <c r="S59" i="30" s="1"/>
  <c r="H19" i="32" s="1"/>
  <c r="U101" i="18"/>
  <c r="U62" i="30" s="1"/>
  <c r="T67" i="30"/>
  <c r="T58" i="30" s="1"/>
  <c r="H20" i="33" s="1"/>
  <c r="X30" i="18"/>
  <c r="AH8" i="18"/>
  <c r="X33" i="18"/>
  <c r="W95" i="18"/>
  <c r="W105" i="18"/>
  <c r="U155" i="20"/>
  <c r="U65" i="30"/>
  <c r="AG7" i="18"/>
  <c r="W32" i="18"/>
  <c r="V64" i="30" s="1"/>
  <c r="V144" i="20"/>
  <c r="V148" i="20" s="1"/>
  <c r="V94" i="18"/>
  <c r="V104" i="18"/>
  <c r="Y29" i="18"/>
  <c r="AH102" i="18"/>
  <c r="AH92" i="18"/>
  <c r="AH96" i="18"/>
  <c r="AH106" i="18"/>
  <c r="AJ31" i="18"/>
  <c r="T7" i="25"/>
  <c r="T14" i="25"/>
  <c r="T75" i="30" s="1"/>
  <c r="T71" i="30" s="1"/>
  <c r="I20" i="34" s="1"/>
  <c r="T15" i="25"/>
  <c r="T76" i="30" s="1"/>
  <c r="T73" i="30" s="1"/>
  <c r="I20" i="33" s="1"/>
  <c r="E20" i="33"/>
  <c r="S80" i="30"/>
  <c r="S72" i="30" s="1"/>
  <c r="I19" i="31" s="1"/>
  <c r="T3" i="24"/>
  <c r="V4" i="24"/>
  <c r="U79" i="30"/>
  <c r="T78" i="30"/>
  <c r="U18" i="23"/>
  <c r="X103" i="8"/>
  <c r="W99" i="8"/>
  <c r="V100" i="8"/>
  <c r="V101" i="8"/>
  <c r="Y78" i="8"/>
  <c r="Z92" i="8"/>
  <c r="W76" i="8"/>
  <c r="W75" i="8" s="1"/>
  <c r="W74" i="8" s="1"/>
  <c r="X82" i="8"/>
  <c r="W77" i="8"/>
  <c r="X83" i="8"/>
  <c r="Y9" i="8"/>
  <c r="Z39" i="8"/>
  <c r="Y10" i="8"/>
  <c r="Z47" i="8"/>
  <c r="X11" i="8"/>
  <c r="Y24" i="8"/>
  <c r="W8" i="8"/>
  <c r="W7" i="8" s="1"/>
  <c r="W12" i="8" s="1"/>
  <c r="X30" i="8"/>
  <c r="Y4" i="8"/>
  <c r="S199" i="8"/>
  <c r="R13" i="30" s="1"/>
  <c r="R9" i="30" s="1"/>
  <c r="C18" i="32" s="1"/>
  <c r="T16" i="30"/>
  <c r="T10" i="30" s="1"/>
  <c r="C20" i="31" s="1"/>
  <c r="U55" i="30" l="1"/>
  <c r="T46" i="30"/>
  <c r="G20" i="32" s="1"/>
  <c r="U51" i="30"/>
  <c r="V17" i="28"/>
  <c r="U52" i="30"/>
  <c r="V22" i="28"/>
  <c r="S51" i="28"/>
  <c r="S48" i="30" s="1"/>
  <c r="S45" i="30" s="1"/>
  <c r="G19" i="33" s="1"/>
  <c r="X9" i="27"/>
  <c r="W13" i="27"/>
  <c r="W49" i="30" s="1"/>
  <c r="AF123" i="20"/>
  <c r="AF61" i="30" s="1"/>
  <c r="X153" i="20"/>
  <c r="X60" i="30"/>
  <c r="AJ40" i="20"/>
  <c r="Z44" i="20"/>
  <c r="AJ118" i="20"/>
  <c r="AK57" i="20"/>
  <c r="AK118" i="20" s="1"/>
  <c r="AF154" i="20"/>
  <c r="AH116" i="20"/>
  <c r="AI55" i="20"/>
  <c r="AI56" i="20"/>
  <c r="AH117" i="20"/>
  <c r="AJ114" i="20"/>
  <c r="AK53" i="20"/>
  <c r="AK114" i="20" s="1"/>
  <c r="AH115" i="20"/>
  <c r="AG123" i="20" s="1"/>
  <c r="AI54" i="20"/>
  <c r="AI112" i="20"/>
  <c r="AJ51" i="20"/>
  <c r="AJ49" i="20"/>
  <c r="AI110" i="20"/>
  <c r="AK3" i="19"/>
  <c r="AJ16" i="19" s="1"/>
  <c r="AJ63" i="30" s="1"/>
  <c r="AI16" i="19"/>
  <c r="AI63" i="30" s="1"/>
  <c r="T159" i="20"/>
  <c r="T91" i="18"/>
  <c r="T66" i="30" s="1"/>
  <c r="T59" i="30" s="1"/>
  <c r="H20" i="32" s="1"/>
  <c r="Y30" i="18"/>
  <c r="V155" i="20"/>
  <c r="V65" i="30"/>
  <c r="U67" i="30"/>
  <c r="U58" i="30" s="1"/>
  <c r="H21" i="33" s="1"/>
  <c r="AH7" i="18"/>
  <c r="X32" i="18"/>
  <c r="W64" i="30" s="1"/>
  <c r="W94" i="18"/>
  <c r="W104" i="18"/>
  <c r="W144" i="20"/>
  <c r="W148" i="20" s="1"/>
  <c r="AI8" i="18"/>
  <c r="Y33" i="18"/>
  <c r="X105" i="18"/>
  <c r="X95" i="18"/>
  <c r="V101" i="18"/>
  <c r="V62" i="30" s="1"/>
  <c r="Z29" i="18"/>
  <c r="AK31" i="18"/>
  <c r="AI106" i="18"/>
  <c r="AI96" i="18"/>
  <c r="AI102" i="18"/>
  <c r="AI92" i="18"/>
  <c r="U7" i="25"/>
  <c r="U14" i="25"/>
  <c r="U75" i="30" s="1"/>
  <c r="U71" i="30" s="1"/>
  <c r="I21" i="34" s="1"/>
  <c r="U15" i="25"/>
  <c r="U76" i="30" s="1"/>
  <c r="U73" i="30" s="1"/>
  <c r="I21" i="33" s="1"/>
  <c r="T80" i="30"/>
  <c r="T72" i="30" s="1"/>
  <c r="I20" i="31" s="1"/>
  <c r="U3" i="24"/>
  <c r="V79" i="30"/>
  <c r="W4" i="24"/>
  <c r="E21" i="33"/>
  <c r="U78" i="30"/>
  <c r="V18" i="23"/>
  <c r="W100" i="8"/>
  <c r="W101" i="8"/>
  <c r="X99" i="8"/>
  <c r="Y103" i="8"/>
  <c r="X76" i="8"/>
  <c r="Y82" i="8"/>
  <c r="X77" i="8"/>
  <c r="Y83" i="8"/>
  <c r="Z78" i="8"/>
  <c r="AA92" i="8"/>
  <c r="X8" i="8"/>
  <c r="X7" i="8" s="1"/>
  <c r="X12" i="8" s="1"/>
  <c r="Y30" i="8"/>
  <c r="Z10" i="8"/>
  <c r="AA47" i="8"/>
  <c r="Y11" i="8"/>
  <c r="Z24" i="8"/>
  <c r="Z9" i="8"/>
  <c r="AA39" i="8"/>
  <c r="Z4" i="8"/>
  <c r="T199" i="8"/>
  <c r="S13" i="30" s="1"/>
  <c r="S9" i="30" s="1"/>
  <c r="C19" i="32" s="1"/>
  <c r="U16" i="30"/>
  <c r="U10" i="30" s="1"/>
  <c r="C21" i="31" s="1"/>
  <c r="V55" i="30" l="1"/>
  <c r="T51" i="28"/>
  <c r="T48" i="30" s="1"/>
  <c r="T45" i="30" s="1"/>
  <c r="G20" i="33" s="1"/>
  <c r="W17" i="28"/>
  <c r="V51" i="30"/>
  <c r="V52" i="30"/>
  <c r="W22" i="28"/>
  <c r="U46" i="30"/>
  <c r="G21" i="32" s="1"/>
  <c r="Y9" i="27"/>
  <c r="X13" i="27"/>
  <c r="X49" i="30" s="1"/>
  <c r="AG61" i="30"/>
  <c r="Y60" i="30"/>
  <c r="Y153" i="20"/>
  <c r="AK40" i="20"/>
  <c r="AA44" i="20"/>
  <c r="AG154" i="20"/>
  <c r="AI116" i="20"/>
  <c r="AJ55" i="20"/>
  <c r="AI115" i="20"/>
  <c r="AJ54" i="20"/>
  <c r="AJ110" i="20"/>
  <c r="AK49" i="20"/>
  <c r="AK110" i="20" s="1"/>
  <c r="AI117" i="20"/>
  <c r="AJ56" i="20"/>
  <c r="AJ112" i="20"/>
  <c r="AK51" i="20"/>
  <c r="AK112" i="20" s="1"/>
  <c r="U159" i="20"/>
  <c r="U91" i="18"/>
  <c r="U66" i="30" s="1"/>
  <c r="U59" i="30" s="1"/>
  <c r="H21" i="32" s="1"/>
  <c r="AJ8" i="18"/>
  <c r="Y105" i="18"/>
  <c r="Z33" i="18"/>
  <c r="Y95" i="18"/>
  <c r="W101" i="18"/>
  <c r="W62" i="30" s="1"/>
  <c r="Z30" i="18"/>
  <c r="W65" i="30"/>
  <c r="W155" i="20"/>
  <c r="AI7" i="18"/>
  <c r="Y32" i="18"/>
  <c r="X64" i="30" s="1"/>
  <c r="X144" i="20"/>
  <c r="X148" i="20" s="1"/>
  <c r="X104" i="18"/>
  <c r="X94" i="18"/>
  <c r="V67" i="30"/>
  <c r="V58" i="30" s="1"/>
  <c r="H22" i="33" s="1"/>
  <c r="AA29" i="18"/>
  <c r="AJ106" i="18"/>
  <c r="AJ96" i="18"/>
  <c r="AJ102" i="18"/>
  <c r="AJ92" i="18"/>
  <c r="V71" i="30"/>
  <c r="I22" i="34" s="1"/>
  <c r="V7" i="25"/>
  <c r="V15" i="25"/>
  <c r="V76" i="30" s="1"/>
  <c r="V73" i="30" s="1"/>
  <c r="I22" i="33" s="1"/>
  <c r="V14" i="25"/>
  <c r="V75" i="30" s="1"/>
  <c r="U80" i="30"/>
  <c r="U72" i="30" s="1"/>
  <c r="I21" i="31" s="1"/>
  <c r="V3" i="24"/>
  <c r="E22" i="33"/>
  <c r="W79" i="30"/>
  <c r="X4" i="24"/>
  <c r="V78" i="30"/>
  <c r="W18" i="23"/>
  <c r="Y99" i="8"/>
  <c r="Z103" i="8"/>
  <c r="X100" i="8"/>
  <c r="X101" i="8" s="1"/>
  <c r="Z83" i="8"/>
  <c r="Y77" i="8"/>
  <c r="AB92" i="8"/>
  <c r="AA78" i="8"/>
  <c r="Y76" i="8"/>
  <c r="Y75" i="8" s="1"/>
  <c r="Y74" i="8" s="1"/>
  <c r="Z82" i="8"/>
  <c r="X75" i="8"/>
  <c r="X74" i="8" s="1"/>
  <c r="AA9" i="8"/>
  <c r="AB39" i="8"/>
  <c r="AA10" i="8"/>
  <c r="AB47" i="8"/>
  <c r="AA4" i="8"/>
  <c r="Z11" i="8"/>
  <c r="AA24" i="8"/>
  <c r="Y8" i="8"/>
  <c r="Y7" i="8" s="1"/>
  <c r="Y12" i="8" s="1"/>
  <c r="Z30" i="8"/>
  <c r="U199" i="8"/>
  <c r="T13" i="30" s="1"/>
  <c r="T9" i="30" s="1"/>
  <c r="C20" i="32" s="1"/>
  <c r="V16" i="30"/>
  <c r="V10" i="30" s="1"/>
  <c r="C22" i="31" s="1"/>
  <c r="W55" i="30" l="1"/>
  <c r="V46" i="30"/>
  <c r="G22" i="32" s="1"/>
  <c r="W51" i="30"/>
  <c r="X17" i="28"/>
  <c r="W52" i="30"/>
  <c r="X22" i="28"/>
  <c r="U51" i="28"/>
  <c r="U48" i="30" s="1"/>
  <c r="U45" i="30" s="1"/>
  <c r="G21" i="33" s="1"/>
  <c r="Z9" i="27"/>
  <c r="Y13" i="27"/>
  <c r="Y49" i="30" s="1"/>
  <c r="AH123" i="20"/>
  <c r="Z60" i="30"/>
  <c r="Z153" i="20"/>
  <c r="AL40" i="20"/>
  <c r="AB44" i="20"/>
  <c r="AH61" i="30"/>
  <c r="AJ116" i="20"/>
  <c r="AK55" i="20"/>
  <c r="AK116" i="20" s="1"/>
  <c r="AJ117" i="20"/>
  <c r="AK56" i="20"/>
  <c r="AK117" i="20" s="1"/>
  <c r="AK54" i="20"/>
  <c r="AK115" i="20" s="1"/>
  <c r="AJ115" i="20"/>
  <c r="V159" i="20"/>
  <c r="V91" i="18"/>
  <c r="V66" i="30" s="1"/>
  <c r="V59" i="30" s="1"/>
  <c r="H22" i="32" s="1"/>
  <c r="AJ7" i="18"/>
  <c r="Z32" i="18"/>
  <c r="Y64" i="30" s="1"/>
  <c r="Y104" i="18"/>
  <c r="Y94" i="18"/>
  <c r="Y144" i="20"/>
  <c r="Y148" i="20" s="1"/>
  <c r="W67" i="30"/>
  <c r="W58" i="30" s="1"/>
  <c r="H23" i="33" s="1"/>
  <c r="X65" i="30"/>
  <c r="X155" i="20"/>
  <c r="X101" i="18"/>
  <c r="X62" i="30" s="1"/>
  <c r="AA30" i="18"/>
  <c r="AK8" i="18"/>
  <c r="Z95" i="18"/>
  <c r="Z105" i="18"/>
  <c r="AA33" i="18"/>
  <c r="AB29" i="18"/>
  <c r="W7" i="25"/>
  <c r="W15" i="25"/>
  <c r="W76" i="30" s="1"/>
  <c r="W73" i="30" s="1"/>
  <c r="I23" i="33" s="1"/>
  <c r="W14" i="25"/>
  <c r="W75" i="30" s="1"/>
  <c r="W71" i="30" s="1"/>
  <c r="I23" i="34" s="1"/>
  <c r="E23" i="33"/>
  <c r="Y4" i="24"/>
  <c r="X79" i="30"/>
  <c r="W3" i="24"/>
  <c r="V80" i="30"/>
  <c r="V72" i="30" s="1"/>
  <c r="I22" i="31" s="1"/>
  <c r="W78" i="30"/>
  <c r="X18" i="23"/>
  <c r="Z99" i="8"/>
  <c r="AA103" i="8"/>
  <c r="Y100" i="8"/>
  <c r="Y101" i="8" s="1"/>
  <c r="AB78" i="8"/>
  <c r="AC92" i="8"/>
  <c r="Z76" i="8"/>
  <c r="Z75" i="8" s="1"/>
  <c r="Z74" i="8" s="1"/>
  <c r="AA82" i="8"/>
  <c r="Z77" i="8"/>
  <c r="AA83" i="8"/>
  <c r="AB10" i="8"/>
  <c r="AC47" i="8"/>
  <c r="Z8" i="8"/>
  <c r="Z7" i="8" s="1"/>
  <c r="Z12" i="8" s="1"/>
  <c r="AA30" i="8"/>
  <c r="AB4" i="8"/>
  <c r="AB9" i="8"/>
  <c r="AC39" i="8"/>
  <c r="AA11" i="8"/>
  <c r="AB24" i="8"/>
  <c r="V199" i="8"/>
  <c r="U13" i="30" s="1"/>
  <c r="U9" i="30" s="1"/>
  <c r="C21" i="32" s="1"/>
  <c r="W16" i="30"/>
  <c r="W10" i="30" s="1"/>
  <c r="C23" i="31" s="1"/>
  <c r="X55" i="30" l="1"/>
  <c r="V51" i="28"/>
  <c r="V48" i="30" s="1"/>
  <c r="V45" i="30" s="1"/>
  <c r="G22" i="33" s="1"/>
  <c r="X51" i="30"/>
  <c r="Y17" i="28"/>
  <c r="Y22" i="28"/>
  <c r="X52" i="30"/>
  <c r="W46" i="30"/>
  <c r="G23" i="32" s="1"/>
  <c r="AA9" i="27"/>
  <c r="Z13" i="27"/>
  <c r="Z49" i="30" s="1"/>
  <c r="AJ123" i="20"/>
  <c r="AI123" i="20"/>
  <c r="AI61" i="30" s="1"/>
  <c r="AA153" i="20"/>
  <c r="AA60" i="30"/>
  <c r="AC44" i="20"/>
  <c r="AM40" i="20"/>
  <c r="AH154" i="20"/>
  <c r="AJ154" i="20"/>
  <c r="AJ61" i="30"/>
  <c r="AI154" i="20"/>
  <c r="W159" i="20"/>
  <c r="W91" i="18"/>
  <c r="W66" i="30" s="1"/>
  <c r="W59" i="30" s="1"/>
  <c r="H23" i="32" s="1"/>
  <c r="X67" i="30"/>
  <c r="X58" i="30" s="1"/>
  <c r="H24" i="33" s="1"/>
  <c r="Y65" i="30"/>
  <c r="Y155" i="20"/>
  <c r="AK7" i="18"/>
  <c r="Z104" i="18"/>
  <c r="Z144" i="20"/>
  <c r="Z148" i="20" s="1"/>
  <c r="Z94" i="18"/>
  <c r="AA32" i="18"/>
  <c r="Z64" i="30" s="1"/>
  <c r="AB30" i="18"/>
  <c r="AL8" i="18"/>
  <c r="AB33" i="18"/>
  <c r="AA95" i="18"/>
  <c r="AA105" i="18"/>
  <c r="Y101" i="18"/>
  <c r="Y62" i="30" s="1"/>
  <c r="AC29" i="18"/>
  <c r="X7" i="25"/>
  <c r="X14" i="25"/>
  <c r="X75" i="30" s="1"/>
  <c r="X71" i="30" s="1"/>
  <c r="I24" i="34" s="1"/>
  <c r="X15" i="25"/>
  <c r="X76" i="30" s="1"/>
  <c r="X73" i="30" s="1"/>
  <c r="I24" i="33" s="1"/>
  <c r="E24" i="33"/>
  <c r="Y79" i="30"/>
  <c r="Z4" i="24"/>
  <c r="X3" i="24"/>
  <c r="W80" i="30"/>
  <c r="W72" i="30" s="1"/>
  <c r="I23" i="31" s="1"/>
  <c r="Y18" i="23"/>
  <c r="X78" i="30"/>
  <c r="AB103" i="8"/>
  <c r="AA99" i="8"/>
  <c r="Z100" i="8"/>
  <c r="Z101" i="8"/>
  <c r="AB82" i="8"/>
  <c r="AA76" i="8"/>
  <c r="AC78" i="8"/>
  <c r="AD92" i="8"/>
  <c r="AA77" i="8"/>
  <c r="AB83" i="8"/>
  <c r="AB11" i="8"/>
  <c r="AC24" i="8"/>
  <c r="AC10" i="8"/>
  <c r="AD47" i="8"/>
  <c r="AC9" i="8"/>
  <c r="AD39" i="8"/>
  <c r="AA8" i="8"/>
  <c r="AA7" i="8" s="1"/>
  <c r="AA12" i="8" s="1"/>
  <c r="AB30" i="8"/>
  <c r="AC4" i="8"/>
  <c r="W199" i="8"/>
  <c r="V13" i="30" s="1"/>
  <c r="V9" i="30" s="1"/>
  <c r="C22" i="32" s="1"/>
  <c r="X16" i="30"/>
  <c r="X10" i="30" s="1"/>
  <c r="C24" i="31" s="1"/>
  <c r="Y55" i="30" l="1"/>
  <c r="Y51" i="30"/>
  <c r="Z17" i="28"/>
  <c r="X46" i="30"/>
  <c r="G24" i="32" s="1"/>
  <c r="Y52" i="30"/>
  <c r="Z22" i="28"/>
  <c r="W51" i="28"/>
  <c r="W48" i="30" s="1"/>
  <c r="W45" i="30" s="1"/>
  <c r="G23" i="33" s="1"/>
  <c r="AB9" i="27"/>
  <c r="AA13" i="27"/>
  <c r="AA49" i="30" s="1"/>
  <c r="AB153" i="20"/>
  <c r="AB60" i="30"/>
  <c r="AN40" i="20"/>
  <c r="AD44" i="20"/>
  <c r="X91" i="18"/>
  <c r="X66" i="30" s="1"/>
  <c r="X59" i="30" s="1"/>
  <c r="H24" i="32" s="1"/>
  <c r="X159" i="20"/>
  <c r="AM8" i="18"/>
  <c r="AC33" i="18"/>
  <c r="AB105" i="18"/>
  <c r="AB95" i="18"/>
  <c r="Z155" i="20"/>
  <c r="Z65" i="30"/>
  <c r="AC30" i="18"/>
  <c r="Y67" i="30"/>
  <c r="Y58" i="30" s="1"/>
  <c r="H25" i="33" s="1"/>
  <c r="Z101" i="18"/>
  <c r="Z62" i="30" s="1"/>
  <c r="AL7" i="18"/>
  <c r="AA94" i="18"/>
  <c r="AA144" i="20"/>
  <c r="AA148" i="20" s="1"/>
  <c r="AB32" i="18"/>
  <c r="AA64" i="30" s="1"/>
  <c r="AA104" i="18"/>
  <c r="AD29" i="18"/>
  <c r="Y7" i="25"/>
  <c r="Y14" i="25"/>
  <c r="Y75" i="30" s="1"/>
  <c r="Y71" i="30" s="1"/>
  <c r="I25" i="34" s="1"/>
  <c r="Y15" i="25"/>
  <c r="Y76" i="30" s="1"/>
  <c r="Y73" i="30" s="1"/>
  <c r="I25" i="33" s="1"/>
  <c r="E25" i="33"/>
  <c r="X80" i="30"/>
  <c r="X72" i="30" s="1"/>
  <c r="I24" i="31" s="1"/>
  <c r="Y3" i="24"/>
  <c r="AA4" i="24"/>
  <c r="Z79" i="30"/>
  <c r="Z18" i="23"/>
  <c r="Y78" i="30"/>
  <c r="AA100" i="8"/>
  <c r="AA101" i="8"/>
  <c r="AB99" i="8"/>
  <c r="AC103" i="8"/>
  <c r="AD78" i="8"/>
  <c r="AE92" i="8"/>
  <c r="AB77" i="8"/>
  <c r="AC83" i="8"/>
  <c r="AA75" i="8"/>
  <c r="AA74" i="8" s="1"/>
  <c r="AB76" i="8"/>
  <c r="AB75" i="8" s="1"/>
  <c r="AB74" i="8" s="1"/>
  <c r="AC82" i="8"/>
  <c r="AD10" i="8"/>
  <c r="AE47" i="8"/>
  <c r="AD9" i="8"/>
  <c r="AE39" i="8"/>
  <c r="AC11" i="8"/>
  <c r="AD24" i="8"/>
  <c r="AB8" i="8"/>
  <c r="AB7" i="8" s="1"/>
  <c r="AB12" i="8" s="1"/>
  <c r="AC30" i="8"/>
  <c r="AD4" i="8"/>
  <c r="X199" i="8"/>
  <c r="W13" i="30" s="1"/>
  <c r="W9" i="30" s="1"/>
  <c r="C23" i="32" s="1"/>
  <c r="Y16" i="30"/>
  <c r="Y10" i="30" s="1"/>
  <c r="C25" i="31" s="1"/>
  <c r="Z55" i="30" l="1"/>
  <c r="Z52" i="30"/>
  <c r="AA22" i="28"/>
  <c r="Z51" i="30"/>
  <c r="AA17" i="28"/>
  <c r="X51" i="28"/>
  <c r="X48" i="30" s="1"/>
  <c r="X45" i="30" s="1"/>
  <c r="G24" i="33" s="1"/>
  <c r="Y46" i="30"/>
  <c r="G25" i="32" s="1"/>
  <c r="AC9" i="27"/>
  <c r="AB13" i="27"/>
  <c r="AB49" i="30" s="1"/>
  <c r="AC60" i="30"/>
  <c r="AC153" i="20"/>
  <c r="AO40" i="20"/>
  <c r="AE44" i="20"/>
  <c r="Y91" i="18"/>
  <c r="Y66" i="30" s="1"/>
  <c r="Y59" i="30" s="1"/>
  <c r="H25" i="32" s="1"/>
  <c r="Y159" i="20"/>
  <c r="AM7" i="18"/>
  <c r="AC32" i="18"/>
  <c r="AB64" i="30" s="1"/>
  <c r="AB144" i="20"/>
  <c r="AB148" i="20" s="1"/>
  <c r="AB104" i="18"/>
  <c r="AB94" i="18"/>
  <c r="AD30" i="18"/>
  <c r="AA101" i="18"/>
  <c r="AA62" i="30" s="1"/>
  <c r="AA65" i="30"/>
  <c r="AA155" i="20"/>
  <c r="Z67" i="30"/>
  <c r="Z58" i="30" s="1"/>
  <c r="H26" i="33" s="1"/>
  <c r="AN8" i="18"/>
  <c r="AC105" i="18"/>
  <c r="AC95" i="18"/>
  <c r="AD33" i="18"/>
  <c r="AE29" i="18"/>
  <c r="Z7" i="25"/>
  <c r="Z15" i="25"/>
  <c r="Z76" i="30" s="1"/>
  <c r="Z73" i="30" s="1"/>
  <c r="I26" i="33" s="1"/>
  <c r="Z14" i="25"/>
  <c r="Z75" i="30" s="1"/>
  <c r="Z71" i="30" s="1"/>
  <c r="I26" i="34" s="1"/>
  <c r="Y80" i="30"/>
  <c r="Y72" i="30" s="1"/>
  <c r="I25" i="31" s="1"/>
  <c r="Z3" i="24"/>
  <c r="AA79" i="30"/>
  <c r="AB4" i="24"/>
  <c r="E26" i="33"/>
  <c r="Z78" i="30"/>
  <c r="AA18" i="23"/>
  <c r="AB100" i="8"/>
  <c r="AB101" i="8" s="1"/>
  <c r="AC99" i="8"/>
  <c r="AD103" i="8"/>
  <c r="AC77" i="8"/>
  <c r="AD83" i="8"/>
  <c r="AC76" i="8"/>
  <c r="AC75" i="8" s="1"/>
  <c r="AC74" i="8" s="1"/>
  <c r="AD82" i="8"/>
  <c r="AE78" i="8"/>
  <c r="AF92" i="8"/>
  <c r="AC8" i="8"/>
  <c r="AC7" i="8" s="1"/>
  <c r="AC12" i="8" s="1"/>
  <c r="AD30" i="8"/>
  <c r="AE9" i="8"/>
  <c r="AF39" i="8"/>
  <c r="AE4" i="8"/>
  <c r="AD11" i="8"/>
  <c r="AE24" i="8"/>
  <c r="AE10" i="8"/>
  <c r="AF47" i="8"/>
  <c r="Y199" i="8"/>
  <c r="X13" i="30" s="1"/>
  <c r="X9" i="30" s="1"/>
  <c r="C24" i="32" s="1"/>
  <c r="Z16" i="30"/>
  <c r="Z10" i="30" s="1"/>
  <c r="C26" i="31" s="1"/>
  <c r="AA55" i="30" l="1"/>
  <c r="Z46" i="30"/>
  <c r="G26" i="32" s="1"/>
  <c r="AA52" i="30"/>
  <c r="AB22" i="28"/>
  <c r="Y51" i="28"/>
  <c r="Y48" i="30" s="1"/>
  <c r="Y45" i="30" s="1"/>
  <c r="G25" i="33" s="1"/>
  <c r="AA51" i="30"/>
  <c r="AB17" i="28"/>
  <c r="AD9" i="27"/>
  <c r="AC13" i="27"/>
  <c r="AC49" i="30" s="1"/>
  <c r="AF44" i="20"/>
  <c r="AP40" i="20"/>
  <c r="AD60" i="30"/>
  <c r="AD153" i="20"/>
  <c r="Z159" i="20"/>
  <c r="Z91" i="18"/>
  <c r="Z66" i="30" s="1"/>
  <c r="Z59" i="30" s="1"/>
  <c r="H26" i="32" s="1"/>
  <c r="AE30" i="18"/>
  <c r="AB65" i="30"/>
  <c r="AB155" i="20"/>
  <c r="AA67" i="30"/>
  <c r="AA58" i="30" s="1"/>
  <c r="H27" i="33" s="1"/>
  <c r="AB101" i="18"/>
  <c r="AB62" i="30" s="1"/>
  <c r="AO8" i="18"/>
  <c r="AD105" i="18"/>
  <c r="AE33" i="18"/>
  <c r="AD95" i="18"/>
  <c r="AN7" i="18"/>
  <c r="AD32" i="18"/>
  <c r="AC64" i="30" s="1"/>
  <c r="AC94" i="18"/>
  <c r="AC104" i="18"/>
  <c r="AC144" i="20"/>
  <c r="AC148" i="20" s="1"/>
  <c r="AF29" i="18"/>
  <c r="AA7" i="25"/>
  <c r="AA15" i="25"/>
  <c r="AA76" i="30" s="1"/>
  <c r="AA73" i="30" s="1"/>
  <c r="I27" i="33" s="1"/>
  <c r="AA14" i="25"/>
  <c r="AA75" i="30" s="1"/>
  <c r="AA71" i="30" s="1"/>
  <c r="I27" i="34" s="1"/>
  <c r="AA3" i="24"/>
  <c r="Z80" i="30"/>
  <c r="Z72" i="30" s="1"/>
  <c r="I26" i="31" s="1"/>
  <c r="E27" i="33"/>
  <c r="AB79" i="30"/>
  <c r="AC4" i="24"/>
  <c r="AA78" i="30"/>
  <c r="AB18" i="23"/>
  <c r="AD99" i="8"/>
  <c r="AE103" i="8"/>
  <c r="AC100" i="8"/>
  <c r="AC101" i="8" s="1"/>
  <c r="AD76" i="8"/>
  <c r="AE82" i="8"/>
  <c r="AD77" i="8"/>
  <c r="AE83" i="8"/>
  <c r="AF78" i="8"/>
  <c r="AG92" i="8"/>
  <c r="AE11" i="8"/>
  <c r="AF24" i="8"/>
  <c r="AF9" i="8"/>
  <c r="AG39" i="8"/>
  <c r="AF10" i="8"/>
  <c r="AG47" i="8"/>
  <c r="AF4" i="8"/>
  <c r="AD8" i="8"/>
  <c r="AD7" i="8" s="1"/>
  <c r="AD12" i="8" s="1"/>
  <c r="AE30" i="8"/>
  <c r="Z199" i="8"/>
  <c r="Y13" i="30" s="1"/>
  <c r="Y9" i="30" s="1"/>
  <c r="C25" i="32" s="1"/>
  <c r="AA16" i="30"/>
  <c r="AA10" i="30" s="1"/>
  <c r="C27" i="31" s="1"/>
  <c r="AA46" i="30" l="1"/>
  <c r="G27" i="32" s="1"/>
  <c r="AB55" i="30"/>
  <c r="AB51" i="30"/>
  <c r="AC17" i="28"/>
  <c r="Z51" i="28"/>
  <c r="Z48" i="30" s="1"/>
  <c r="Z45" i="30" s="1"/>
  <c r="G26" i="33" s="1"/>
  <c r="AB52" i="30"/>
  <c r="AC22" i="28"/>
  <c r="AE9" i="27"/>
  <c r="AD13" i="27"/>
  <c r="AD49" i="30" s="1"/>
  <c r="AQ40" i="20"/>
  <c r="AG44" i="20"/>
  <c r="AE153" i="20"/>
  <c r="AE60" i="30"/>
  <c r="AA91" i="18"/>
  <c r="AA66" i="30" s="1"/>
  <c r="AA59" i="30" s="1"/>
  <c r="H27" i="32" s="1"/>
  <c r="AA159" i="20"/>
  <c r="AP8" i="18"/>
  <c r="AE95" i="18"/>
  <c r="AF33" i="18"/>
  <c r="AE105" i="18"/>
  <c r="AB67" i="30"/>
  <c r="AB58" i="30" s="1"/>
  <c r="H28" i="33" s="1"/>
  <c r="AC65" i="30"/>
  <c r="AC155" i="20"/>
  <c r="AO7" i="18"/>
  <c r="AE32" i="18"/>
  <c r="AD64" i="30" s="1"/>
  <c r="AD144" i="20"/>
  <c r="AD148" i="20" s="1"/>
  <c r="AD94" i="18"/>
  <c r="AD104" i="18"/>
  <c r="AF30" i="18"/>
  <c r="AC101" i="18"/>
  <c r="AC62" i="30" s="1"/>
  <c r="AG29" i="18"/>
  <c r="AB7" i="25"/>
  <c r="AB14" i="25"/>
  <c r="AB75" i="30" s="1"/>
  <c r="AB71" i="30" s="1"/>
  <c r="I28" i="34" s="1"/>
  <c r="AB15" i="25"/>
  <c r="AB76" i="30" s="1"/>
  <c r="AB73" i="30" s="1"/>
  <c r="I28" i="33" s="1"/>
  <c r="AD4" i="24"/>
  <c r="AC79" i="30"/>
  <c r="AB3" i="24"/>
  <c r="AA80" i="30"/>
  <c r="AA72" i="30" s="1"/>
  <c r="I27" i="31" s="1"/>
  <c r="E28" i="33"/>
  <c r="AC18" i="23"/>
  <c r="AB78" i="30"/>
  <c r="AF103" i="8"/>
  <c r="AE99" i="8"/>
  <c r="AD100" i="8"/>
  <c r="AD101" i="8"/>
  <c r="AE77" i="8"/>
  <c r="AF83" i="8"/>
  <c r="AG78" i="8"/>
  <c r="AH92" i="8"/>
  <c r="AE76" i="8"/>
  <c r="AE75" i="8" s="1"/>
  <c r="AE74" i="8" s="1"/>
  <c r="AF82" i="8"/>
  <c r="AD75" i="8"/>
  <c r="AD74" i="8" s="1"/>
  <c r="AG9" i="8"/>
  <c r="AH39" i="8"/>
  <c r="AG4" i="8"/>
  <c r="AE8" i="8"/>
  <c r="AE7" i="8" s="1"/>
  <c r="AE12" i="8" s="1"/>
  <c r="AF30" i="8"/>
  <c r="AG10" i="8"/>
  <c r="AH47" i="8"/>
  <c r="AF11" i="8"/>
  <c r="AG24" i="8"/>
  <c r="AA199" i="8"/>
  <c r="Z13" i="30" s="1"/>
  <c r="Z9" i="30" s="1"/>
  <c r="C26" i="32" s="1"/>
  <c r="AB16" i="30"/>
  <c r="AB10" i="30" s="1"/>
  <c r="C28" i="31" s="1"/>
  <c r="AC55" i="30" l="1"/>
  <c r="AA51" i="28"/>
  <c r="AA48" i="30" s="1"/>
  <c r="AA45" i="30" s="1"/>
  <c r="G27" i="33" s="1"/>
  <c r="AC52" i="30"/>
  <c r="AD22" i="28"/>
  <c r="AC51" i="30"/>
  <c r="AD17" i="28"/>
  <c r="AB46" i="30"/>
  <c r="G28" i="32" s="1"/>
  <c r="AF9" i="27"/>
  <c r="AE13" i="27"/>
  <c r="AE49" i="30" s="1"/>
  <c r="AF153" i="20"/>
  <c r="AF60" i="30"/>
  <c r="AR40" i="20"/>
  <c r="AH44" i="20"/>
  <c r="AB91" i="18"/>
  <c r="AB66" i="30" s="1"/>
  <c r="AB59" i="30" s="1"/>
  <c r="H28" i="32" s="1"/>
  <c r="AB159" i="20"/>
  <c r="AG30" i="18"/>
  <c r="AD65" i="30"/>
  <c r="AD155" i="20"/>
  <c r="AP7" i="18"/>
  <c r="AE144" i="20"/>
  <c r="AE148" i="20" s="1"/>
  <c r="AE104" i="18"/>
  <c r="AF32" i="18"/>
  <c r="AE64" i="30" s="1"/>
  <c r="AE94" i="18"/>
  <c r="AD101" i="18"/>
  <c r="AD62" i="30" s="1"/>
  <c r="AC67" i="30"/>
  <c r="AC58" i="30" s="1"/>
  <c r="H29" i="33" s="1"/>
  <c r="AQ8" i="18"/>
  <c r="AF105" i="18"/>
  <c r="AF95" i="18"/>
  <c r="AG33" i="18"/>
  <c r="AH29" i="18"/>
  <c r="AC7" i="25"/>
  <c r="AC15" i="25"/>
  <c r="AC76" i="30" s="1"/>
  <c r="AC73" i="30" s="1"/>
  <c r="I29" i="33" s="1"/>
  <c r="AC14" i="25"/>
  <c r="AC75" i="30" s="1"/>
  <c r="AC71" i="30" s="1"/>
  <c r="I29" i="34" s="1"/>
  <c r="AB80" i="30"/>
  <c r="AC3" i="24"/>
  <c r="E29" i="33"/>
  <c r="AE4" i="24"/>
  <c r="AD79" i="30"/>
  <c r="AB72" i="30"/>
  <c r="I28" i="31" s="1"/>
  <c r="AD18" i="23"/>
  <c r="AC78" i="30"/>
  <c r="AE100" i="8"/>
  <c r="AE101" i="8"/>
  <c r="AF99" i="8"/>
  <c r="AG103" i="8"/>
  <c r="AH78" i="8"/>
  <c r="AI92" i="8"/>
  <c r="AF76" i="8"/>
  <c r="AF75" i="8" s="1"/>
  <c r="AF74" i="8" s="1"/>
  <c r="AG82" i="8"/>
  <c r="AF77" i="8"/>
  <c r="AG83" i="8"/>
  <c r="AH4" i="8"/>
  <c r="AG11" i="8"/>
  <c r="AH24" i="8"/>
  <c r="AF8" i="8"/>
  <c r="AF7" i="8" s="1"/>
  <c r="AF12" i="8" s="1"/>
  <c r="AG30" i="8"/>
  <c r="AH9" i="8"/>
  <c r="AI39" i="8"/>
  <c r="AH10" i="8"/>
  <c r="AI47" i="8"/>
  <c r="AC16" i="30"/>
  <c r="AC10" i="30" s="1"/>
  <c r="C29" i="31" s="1"/>
  <c r="AB199" i="8"/>
  <c r="AA13" i="30" s="1"/>
  <c r="AA9" i="30" s="1"/>
  <c r="C27" i="32" s="1"/>
  <c r="AD55" i="30" l="1"/>
  <c r="AC46" i="30"/>
  <c r="G29" i="32" s="1"/>
  <c r="AD52" i="30"/>
  <c r="AE22" i="28"/>
  <c r="AD51" i="30"/>
  <c r="AE17" i="28"/>
  <c r="AB51" i="28"/>
  <c r="AB48" i="30" s="1"/>
  <c r="AB45" i="30" s="1"/>
  <c r="G28" i="33" s="1"/>
  <c r="AG9" i="27"/>
  <c r="AF13" i="27"/>
  <c r="AF49" i="30" s="1"/>
  <c r="AG60" i="30"/>
  <c r="AG153" i="20"/>
  <c r="AS40" i="20"/>
  <c r="AI44" i="20"/>
  <c r="AC91" i="18"/>
  <c r="AC66" i="30" s="1"/>
  <c r="AC59" i="30" s="1"/>
  <c r="H29" i="32" s="1"/>
  <c r="AC159" i="20"/>
  <c r="AQ7" i="18"/>
  <c r="AF144" i="20"/>
  <c r="AF148" i="20" s="1"/>
  <c r="AF104" i="18"/>
  <c r="AG32" i="18"/>
  <c r="AF64" i="30" s="1"/>
  <c r="AF94" i="18"/>
  <c r="AH30" i="18"/>
  <c r="AR8" i="18"/>
  <c r="AG95" i="18"/>
  <c r="AG105" i="18"/>
  <c r="AH33" i="18"/>
  <c r="AE101" i="18"/>
  <c r="AE62" i="30" s="1"/>
  <c r="AE65" i="30"/>
  <c r="AE155" i="20"/>
  <c r="AD67" i="30"/>
  <c r="AD58" i="30" s="1"/>
  <c r="H30" i="33" s="1"/>
  <c r="AI29" i="18"/>
  <c r="AD7" i="25"/>
  <c r="AD15" i="25"/>
  <c r="AD76" i="30" s="1"/>
  <c r="AD73" i="30" s="1"/>
  <c r="I30" i="33" s="1"/>
  <c r="AD14" i="25"/>
  <c r="AD75" i="30" s="1"/>
  <c r="AD71" i="30" s="1"/>
  <c r="I30" i="34" s="1"/>
  <c r="E30" i="33"/>
  <c r="AD3" i="24"/>
  <c r="AC80" i="30"/>
  <c r="AC72" i="30" s="1"/>
  <c r="I29" i="31" s="1"/>
  <c r="AE79" i="30"/>
  <c r="AF4" i="24"/>
  <c r="AD78" i="30"/>
  <c r="AE18" i="23"/>
  <c r="AG99" i="8"/>
  <c r="AH103" i="8"/>
  <c r="AF100" i="8"/>
  <c r="AF101" i="8" s="1"/>
  <c r="AG76" i="8"/>
  <c r="AH82" i="8"/>
  <c r="AI78" i="8"/>
  <c r="AJ92" i="8"/>
  <c r="AG77" i="8"/>
  <c r="AH83" i="8"/>
  <c r="AI10" i="8"/>
  <c r="AJ47" i="8"/>
  <c r="AI4" i="8"/>
  <c r="AI9" i="8"/>
  <c r="AJ39" i="8"/>
  <c r="AH11" i="8"/>
  <c r="AI24" i="8"/>
  <c r="AG8" i="8"/>
  <c r="AG7" i="8" s="1"/>
  <c r="AG12" i="8" s="1"/>
  <c r="AH30" i="8"/>
  <c r="AD16" i="30"/>
  <c r="AD10" i="30" s="1"/>
  <c r="C30" i="31" s="1"/>
  <c r="AC199" i="8"/>
  <c r="AB13" i="30" s="1"/>
  <c r="AB9" i="30" s="1"/>
  <c r="C28" i="32" s="1"/>
  <c r="AD199" i="8"/>
  <c r="AC13" i="30" s="1"/>
  <c r="AC9" i="30" s="1"/>
  <c r="C29" i="32" s="1"/>
  <c r="AE55" i="30" l="1"/>
  <c r="AD46" i="30"/>
  <c r="G30" i="32" s="1"/>
  <c r="AC51" i="28"/>
  <c r="AC48" i="30" s="1"/>
  <c r="AC45" i="30" s="1"/>
  <c r="G29" i="33" s="1"/>
  <c r="AE52" i="30"/>
  <c r="AF22" i="28"/>
  <c r="AE51" i="30"/>
  <c r="AF17" i="28"/>
  <c r="AH9" i="27"/>
  <c r="AG13" i="27"/>
  <c r="AG49" i="30" s="1"/>
  <c r="AT40" i="20"/>
  <c r="AK44" i="20" s="1"/>
  <c r="AJ44" i="20"/>
  <c r="AH60" i="30"/>
  <c r="AH153" i="20"/>
  <c r="AD159" i="20"/>
  <c r="AD91" i="18"/>
  <c r="AD66" i="30" s="1"/>
  <c r="AD59" i="30" s="1"/>
  <c r="H30" i="32" s="1"/>
  <c r="AS8" i="18"/>
  <c r="AH95" i="18"/>
  <c r="AH105" i="18"/>
  <c r="AI33" i="18"/>
  <c r="AF101" i="18"/>
  <c r="AF62" i="30" s="1"/>
  <c r="AE67" i="30"/>
  <c r="AE58" i="30" s="1"/>
  <c r="H31" i="33" s="1"/>
  <c r="AI30" i="18"/>
  <c r="AF65" i="30"/>
  <c r="AF155" i="20"/>
  <c r="AR7" i="18"/>
  <c r="AG104" i="18"/>
  <c r="AG144" i="20"/>
  <c r="AG148" i="20" s="1"/>
  <c r="AG94" i="18"/>
  <c r="AH32" i="18"/>
  <c r="AG64" i="30" s="1"/>
  <c r="AJ29" i="18"/>
  <c r="AE7" i="25"/>
  <c r="AE15" i="25"/>
  <c r="AE76" i="30" s="1"/>
  <c r="AE73" i="30" s="1"/>
  <c r="I31" i="33" s="1"/>
  <c r="AE14" i="25"/>
  <c r="AE75" i="30" s="1"/>
  <c r="AE71" i="30" s="1"/>
  <c r="I31" i="34" s="1"/>
  <c r="AG4" i="24"/>
  <c r="AF79" i="30"/>
  <c r="AD80" i="30"/>
  <c r="AD72" i="30" s="1"/>
  <c r="I30" i="31" s="1"/>
  <c r="AE3" i="24"/>
  <c r="E31" i="33"/>
  <c r="AE78" i="30"/>
  <c r="AF18" i="23"/>
  <c r="AH99" i="8"/>
  <c r="AI103" i="8"/>
  <c r="AG100" i="8"/>
  <c r="AG101" i="8" s="1"/>
  <c r="AJ78" i="8"/>
  <c r="AK92" i="8"/>
  <c r="AK78" i="8" s="1"/>
  <c r="AH76" i="8"/>
  <c r="AH75" i="8" s="1"/>
  <c r="AH74" i="8" s="1"/>
  <c r="AI82" i="8"/>
  <c r="AH77" i="8"/>
  <c r="AI83" i="8"/>
  <c r="AG75" i="8"/>
  <c r="AG74" i="8" s="1"/>
  <c r="AI11" i="8"/>
  <c r="AJ24" i="8"/>
  <c r="AJ9" i="8"/>
  <c r="AK39" i="8"/>
  <c r="AK9" i="8" s="1"/>
  <c r="AJ10" i="8"/>
  <c r="AK47" i="8"/>
  <c r="AK10" i="8" s="1"/>
  <c r="AJ4" i="8"/>
  <c r="AH8" i="8"/>
  <c r="AH7" i="8" s="1"/>
  <c r="AH12" i="8" s="1"/>
  <c r="AI30" i="8"/>
  <c r="AE16" i="30"/>
  <c r="AE10" i="30" s="1"/>
  <c r="C31" i="31" s="1"/>
  <c r="AF55" i="30" l="1"/>
  <c r="AE46" i="30"/>
  <c r="G31" i="32" s="1"/>
  <c r="AF52" i="30"/>
  <c r="AG22" i="28"/>
  <c r="AF51" i="30"/>
  <c r="AG17" i="28"/>
  <c r="AD51" i="28"/>
  <c r="AD48" i="30" s="1"/>
  <c r="AD45" i="30" s="1"/>
  <c r="G30" i="33" s="1"/>
  <c r="AI9" i="27"/>
  <c r="AH13" i="27"/>
  <c r="AH49" i="30" s="1"/>
  <c r="AI153" i="20"/>
  <c r="AI60" i="30"/>
  <c r="AJ60" i="30"/>
  <c r="AJ153" i="20"/>
  <c r="AE159" i="20"/>
  <c r="AE91" i="18"/>
  <c r="AE66" i="30" s="1"/>
  <c r="AE59" i="30" s="1"/>
  <c r="H31" i="32" s="1"/>
  <c r="AF67" i="30"/>
  <c r="AF58" i="30" s="1"/>
  <c r="H32" i="33" s="1"/>
  <c r="AG101" i="18"/>
  <c r="AG62" i="30" s="1"/>
  <c r="AS7" i="18"/>
  <c r="AH104" i="18"/>
  <c r="AH94" i="18"/>
  <c r="AI32" i="18"/>
  <c r="AH64" i="30" s="1"/>
  <c r="AH144" i="20"/>
  <c r="AH148" i="20" s="1"/>
  <c r="AJ30" i="18"/>
  <c r="AG65" i="30"/>
  <c r="AG155" i="20"/>
  <c r="AT8" i="18"/>
  <c r="AI95" i="18"/>
  <c r="AJ33" i="18"/>
  <c r="AI105" i="18"/>
  <c r="AK29" i="18"/>
  <c r="AF7" i="25"/>
  <c r="AF14" i="25"/>
  <c r="AF75" i="30" s="1"/>
  <c r="AF71" i="30" s="1"/>
  <c r="I32" i="34" s="1"/>
  <c r="AF15" i="25"/>
  <c r="AF76" i="30" s="1"/>
  <c r="AF73" i="30" s="1"/>
  <c r="I32" i="33" s="1"/>
  <c r="E32" i="33"/>
  <c r="AG79" i="30"/>
  <c r="AH4" i="24"/>
  <c r="AF3" i="24"/>
  <c r="AE80" i="30"/>
  <c r="AE72" i="30" s="1"/>
  <c r="I31" i="31" s="1"/>
  <c r="AF78" i="30"/>
  <c r="AG18" i="23"/>
  <c r="AJ103" i="8"/>
  <c r="AI99" i="8"/>
  <c r="AH100" i="8"/>
  <c r="AH101" i="8"/>
  <c r="AI76" i="8"/>
  <c r="AJ82" i="8"/>
  <c r="AI77" i="8"/>
  <c r="AJ83" i="8"/>
  <c r="AJ11" i="8"/>
  <c r="AK24" i="8"/>
  <c r="AK11" i="8" s="1"/>
  <c r="AK4" i="8"/>
  <c r="AI8" i="8"/>
  <c r="AI7" i="8" s="1"/>
  <c r="AI12" i="8" s="1"/>
  <c r="AJ30" i="8"/>
  <c r="AE199" i="8"/>
  <c r="AD13" i="30" s="1"/>
  <c r="AD9" i="30" s="1"/>
  <c r="C30" i="32" s="1"/>
  <c r="AF16" i="30"/>
  <c r="AF10" i="30" s="1"/>
  <c r="C32" i="31" s="1"/>
  <c r="AG55" i="30" l="1"/>
  <c r="AF46" i="30"/>
  <c r="G32" i="32" s="1"/>
  <c r="AG51" i="30"/>
  <c r="AH17" i="28"/>
  <c r="AE51" i="28"/>
  <c r="AE48" i="30" s="1"/>
  <c r="AE45" i="30" s="1"/>
  <c r="G31" i="33" s="1"/>
  <c r="AG52" i="30"/>
  <c r="AH22" i="28"/>
  <c r="AJ9" i="27"/>
  <c r="AJ13" i="27" s="1"/>
  <c r="AJ49" i="30" s="1"/>
  <c r="AI13" i="27"/>
  <c r="AI49" i="30" s="1"/>
  <c r="AF159" i="20"/>
  <c r="AF91" i="18"/>
  <c r="AF66" i="30" s="1"/>
  <c r="AF59" i="30" s="1"/>
  <c r="H32" i="32" s="1"/>
  <c r="AJ105" i="18"/>
  <c r="AK33" i="18"/>
  <c r="AJ95" i="18"/>
  <c r="AK30" i="18"/>
  <c r="AH101" i="18"/>
  <c r="AH62" i="30" s="1"/>
  <c r="AG67" i="30"/>
  <c r="AG58" i="30" s="1"/>
  <c r="H33" i="33" s="1"/>
  <c r="AT7" i="18"/>
  <c r="AI104" i="18"/>
  <c r="AI144" i="20"/>
  <c r="AI148" i="20" s="1"/>
  <c r="AJ32" i="18"/>
  <c r="AI64" i="30" s="1"/>
  <c r="AI94" i="18"/>
  <c r="AH155" i="20"/>
  <c r="AH65" i="30"/>
  <c r="AG7" i="25"/>
  <c r="AG14" i="25"/>
  <c r="AG75" i="30" s="1"/>
  <c r="AG71" i="30" s="1"/>
  <c r="I33" i="34" s="1"/>
  <c r="AG15" i="25"/>
  <c r="AG76" i="30" s="1"/>
  <c r="AG73" i="30" s="1"/>
  <c r="I33" i="33" s="1"/>
  <c r="AF80" i="30"/>
  <c r="AF72" i="30" s="1"/>
  <c r="I32" i="31" s="1"/>
  <c r="AG3" i="24"/>
  <c r="E33" i="33"/>
  <c r="AH79" i="30"/>
  <c r="AI4" i="24"/>
  <c r="AG78" i="30"/>
  <c r="AH18" i="23"/>
  <c r="AI100" i="8"/>
  <c r="AI101" i="8" s="1"/>
  <c r="AJ99" i="8"/>
  <c r="AK103" i="8"/>
  <c r="AK99" i="8" s="1"/>
  <c r="AJ77" i="8"/>
  <c r="AK83" i="8"/>
  <c r="AK77" i="8" s="1"/>
  <c r="AJ76" i="8"/>
  <c r="AJ75" i="8" s="1"/>
  <c r="AJ74" i="8" s="1"/>
  <c r="AK82" i="8"/>
  <c r="AK76" i="8" s="1"/>
  <c r="AK75" i="8" s="1"/>
  <c r="AK74" i="8" s="1"/>
  <c r="AI75" i="8"/>
  <c r="AI74" i="8" s="1"/>
  <c r="AJ8" i="8"/>
  <c r="AJ7" i="8" s="1"/>
  <c r="AJ12" i="8" s="1"/>
  <c r="AK30" i="8"/>
  <c r="AK8" i="8" s="1"/>
  <c r="AK7" i="8" s="1"/>
  <c r="AK12" i="8" s="1"/>
  <c r="AF199" i="8"/>
  <c r="AE13" i="30" s="1"/>
  <c r="AE9" i="30" s="1"/>
  <c r="C31" i="32" s="1"/>
  <c r="AG16" i="30"/>
  <c r="AG10" i="30" s="1"/>
  <c r="C33" i="31" s="1"/>
  <c r="AH55" i="30" l="1"/>
  <c r="AF51" i="28"/>
  <c r="AF48" i="30" s="1"/>
  <c r="AF45" i="30" s="1"/>
  <c r="G32" i="33" s="1"/>
  <c r="AH52" i="30"/>
  <c r="AI22" i="28"/>
  <c r="AH51" i="30"/>
  <c r="AI17" i="28"/>
  <c r="AG46" i="30"/>
  <c r="G33" i="32" s="1"/>
  <c r="AG91" i="18"/>
  <c r="AG66" i="30" s="1"/>
  <c r="AG59" i="30" s="1"/>
  <c r="H33" i="32" s="1"/>
  <c r="AI65" i="30"/>
  <c r="AI155" i="20"/>
  <c r="AK32" i="18"/>
  <c r="AJ64" i="30" s="1"/>
  <c r="AJ104" i="18"/>
  <c r="AJ144" i="20"/>
  <c r="AJ148" i="20" s="1"/>
  <c r="AJ94" i="18"/>
  <c r="AJ101" i="18"/>
  <c r="AI101" i="18"/>
  <c r="AI62" i="30" s="1"/>
  <c r="AH67" i="30"/>
  <c r="AH58" i="30" s="1"/>
  <c r="H34" i="33" s="1"/>
  <c r="AG159" i="20"/>
  <c r="AH7" i="25"/>
  <c r="AH15" i="25"/>
  <c r="AH76" i="30" s="1"/>
  <c r="AH73" i="30" s="1"/>
  <c r="I34" i="33" s="1"/>
  <c r="AH14" i="25"/>
  <c r="AH75" i="30" s="1"/>
  <c r="AH71" i="30" s="1"/>
  <c r="I34" i="34" s="1"/>
  <c r="AI79" i="30"/>
  <c r="AJ4" i="24"/>
  <c r="AJ79" i="30" s="1"/>
  <c r="AH3" i="24"/>
  <c r="AG80" i="30"/>
  <c r="AG72" i="30" s="1"/>
  <c r="I33" i="31" s="1"/>
  <c r="E34" i="33"/>
  <c r="AH78" i="30"/>
  <c r="AI18" i="23"/>
  <c r="AK100" i="8"/>
  <c r="AK101" i="8" s="1"/>
  <c r="AJ100" i="8"/>
  <c r="AJ101" i="8" s="1"/>
  <c r="AG199" i="8"/>
  <c r="AF13" i="30" s="1"/>
  <c r="AF9" i="30" s="1"/>
  <c r="C32" i="32" s="1"/>
  <c r="AH16" i="30"/>
  <c r="AH10" i="30" s="1"/>
  <c r="C34" i="31" s="1"/>
  <c r="AJ55" i="30" l="1"/>
  <c r="AI55" i="30"/>
  <c r="AJ17" i="28"/>
  <c r="AJ51" i="30" s="1"/>
  <c r="AI51" i="30"/>
  <c r="AH46" i="30"/>
  <c r="G34" i="32" s="1"/>
  <c r="AG51" i="28"/>
  <c r="AG48" i="30" s="1"/>
  <c r="AG45" i="30" s="1"/>
  <c r="G33" i="33" s="1"/>
  <c r="AJ22" i="28"/>
  <c r="AJ52" i="30" s="1"/>
  <c r="AI52" i="30"/>
  <c r="AH159" i="20"/>
  <c r="AH91" i="18"/>
  <c r="AH66" i="30" s="1"/>
  <c r="AH59" i="30" s="1"/>
  <c r="H34" i="32" s="1"/>
  <c r="AJ62" i="30"/>
  <c r="AI67" i="30"/>
  <c r="AI58" i="30" s="1"/>
  <c r="H35" i="33" s="1"/>
  <c r="AJ155" i="20"/>
  <c r="AJ65" i="30"/>
  <c r="AI7" i="25"/>
  <c r="AI15" i="25"/>
  <c r="AI76" i="30" s="1"/>
  <c r="AI73" i="30" s="1"/>
  <c r="I35" i="33" s="1"/>
  <c r="AI14" i="25"/>
  <c r="AI75" i="30" s="1"/>
  <c r="AI71" i="30" s="1"/>
  <c r="I35" i="34" s="1"/>
  <c r="E36" i="33"/>
  <c r="E35" i="33"/>
  <c r="AH80" i="30"/>
  <c r="AH72" i="30" s="1"/>
  <c r="I34" i="31" s="1"/>
  <c r="AI3" i="24"/>
  <c r="AI78" i="30"/>
  <c r="AJ18" i="23"/>
  <c r="AJ78" i="30" s="1"/>
  <c r="AH199" i="8"/>
  <c r="AG13" i="30" s="1"/>
  <c r="AG9" i="30" s="1"/>
  <c r="C33" i="32" s="1"/>
  <c r="AJ16" i="30"/>
  <c r="AJ10" i="30" s="1"/>
  <c r="C36" i="31" s="1"/>
  <c r="AI16" i="30"/>
  <c r="AI10" i="30" s="1"/>
  <c r="C35" i="31" s="1"/>
  <c r="AH51" i="28" l="1"/>
  <c r="AH48" i="30" s="1"/>
  <c r="AH45" i="30" s="1"/>
  <c r="G34" i="33" s="1"/>
  <c r="AI46" i="30"/>
  <c r="G35" i="32" s="1"/>
  <c r="AJ46" i="30"/>
  <c r="G36" i="32" s="1"/>
  <c r="AI159" i="20"/>
  <c r="AJ91" i="18"/>
  <c r="AJ66" i="30" s="1"/>
  <c r="AJ59" i="30" s="1"/>
  <c r="H36" i="32" s="1"/>
  <c r="AI91" i="18"/>
  <c r="AI66" i="30" s="1"/>
  <c r="AI59" i="30" s="1"/>
  <c r="H35" i="32" s="1"/>
  <c r="AJ67" i="30"/>
  <c r="AJ58" i="30" s="1"/>
  <c r="H36" i="33" s="1"/>
  <c r="AJ14" i="25"/>
  <c r="AJ75" i="30" s="1"/>
  <c r="AJ71" i="30" s="1"/>
  <c r="I36" i="34" s="1"/>
  <c r="AJ15" i="25"/>
  <c r="AJ76" i="30" s="1"/>
  <c r="AJ73" i="30" s="1"/>
  <c r="I36" i="33" s="1"/>
  <c r="AI80" i="30"/>
  <c r="AI72" i="30" s="1"/>
  <c r="I35" i="31" s="1"/>
  <c r="AJ3" i="24"/>
  <c r="AJ80" i="30" s="1"/>
  <c r="AJ72" i="30" s="1"/>
  <c r="I36" i="31" s="1"/>
  <c r="AI199" i="8"/>
  <c r="AH13" i="30" s="1"/>
  <c r="AH9" i="30" s="1"/>
  <c r="C34" i="32" s="1"/>
  <c r="AJ51" i="28" l="1"/>
  <c r="AJ48" i="30" s="1"/>
  <c r="AJ45" i="30" s="1"/>
  <c r="G36" i="33" s="1"/>
  <c r="AI51" i="28"/>
  <c r="AI48" i="30" s="1"/>
  <c r="AI45" i="30" s="1"/>
  <c r="G35" i="33" s="1"/>
  <c r="AJ159" i="20"/>
  <c r="AJ199" i="8"/>
  <c r="AI13" i="30" s="1"/>
  <c r="AI9" i="30" s="1"/>
  <c r="C35" i="32" s="1"/>
  <c r="AK199" i="8"/>
  <c r="AJ13" i="30" s="1"/>
  <c r="AJ9" i="30" s="1"/>
  <c r="C36" i="32" s="1"/>
</calcChain>
</file>

<file path=xl/sharedStrings.xml><?xml version="1.0" encoding="utf-8"?>
<sst xmlns="http://schemas.openxmlformats.org/spreadsheetml/2006/main" count="7637" uniqueCount="1984">
  <si>
    <t>Value of Shipments (billion 2009 dollars)</t>
  </si>
  <si>
    <t>Emissions factor (clinker) (tons CO2/ton clinker)</t>
  </si>
  <si>
    <t>Aggregate Emissions Factor</t>
  </si>
  <si>
    <t>Future CO2 Emissions (tons CO2)</t>
  </si>
  <si>
    <t>Future CO2 Emissions (MMT CO2)</t>
  </si>
  <si>
    <t>https://unfccc.int/files/national_reports/biennial_reports_and_iar/submitted_biennial_reports/application/pdf/methodologies_for_u_s__greenhouse_gas_emissions_projections.pdf</t>
  </si>
  <si>
    <t>Value of Shipments</t>
  </si>
  <si>
    <t>(billion 2009 dollars)</t>
  </si>
  <si>
    <t>Energy Prices</t>
  </si>
  <si>
    <t>- -</t>
  </si>
  <si>
    <t>(thousand Btu per 2009 dollar)</t>
  </si>
  <si>
    <t>Report</t>
  </si>
  <si>
    <t>Scenario</t>
  </si>
  <si>
    <t>Datekey</t>
  </si>
  <si>
    <t>Release Date</t>
  </si>
  <si>
    <t>IKI000</t>
  </si>
  <si>
    <t>6. Industrial Sector Key Indicators and Consumption</t>
  </si>
  <si>
    <t/>
  </si>
  <si>
    <t xml:space="preserve"> Shipments, Prices, and Consumption</t>
  </si>
  <si>
    <t>IKI000:ba_Manufacturing</t>
  </si>
  <si>
    <t xml:space="preserve">   Manufacturing</t>
  </si>
  <si>
    <t>IKI000:ba_Nonmanufactur</t>
  </si>
  <si>
    <t xml:space="preserve">   Agriculture, Mining, and Construction</t>
  </si>
  <si>
    <t>IKI000:ba_Total</t>
  </si>
  <si>
    <t xml:space="preserve">     Total</t>
  </si>
  <si>
    <t>IKI000:ca_LiquefiedPetr</t>
  </si>
  <si>
    <t xml:space="preserve">   Propane</t>
  </si>
  <si>
    <t>IKI000:ca_MotorGasoline</t>
  </si>
  <si>
    <t xml:space="preserve">   Motor Gasoline</t>
  </si>
  <si>
    <t>IKI000:ca_DistillateOil</t>
  </si>
  <si>
    <t xml:space="preserve">   Distillate Fuel Oil</t>
  </si>
  <si>
    <t>IKI000:ca_ResidualOil</t>
  </si>
  <si>
    <t xml:space="preserve">   Residual Fuel Oil</t>
  </si>
  <si>
    <t>IKI000:ca_Asphalt</t>
  </si>
  <si>
    <t xml:space="preserve">   Asphalt and Road Oil</t>
  </si>
  <si>
    <t>IKI000:ca_NaturalGasHP</t>
  </si>
  <si>
    <t xml:space="preserve">   Natural Gas Heat and Power</t>
  </si>
  <si>
    <t>IKI000:ca_NaturalGasFd</t>
  </si>
  <si>
    <t xml:space="preserve">   Natural Gas Feedstocks</t>
  </si>
  <si>
    <t>IKI000:ca_Metallurgical</t>
  </si>
  <si>
    <t xml:space="preserve">   Metallurgical Coal</t>
  </si>
  <si>
    <t>IKI000:ca_SteamCoal</t>
  </si>
  <si>
    <t xml:space="preserve">   Other Industrial Coal</t>
  </si>
  <si>
    <t>IKI000:ca_CoaltoLiquids</t>
  </si>
  <si>
    <t xml:space="preserve">   Coal to Liquids</t>
  </si>
  <si>
    <t>IKI000:ca_Electricity</t>
  </si>
  <si>
    <t xml:space="preserve">   Electricity</t>
  </si>
  <si>
    <t xml:space="preserve">  (nominal dollars per million Btu)</t>
  </si>
  <si>
    <t>IKI000:nom_LiquefiedPet</t>
  </si>
  <si>
    <t>IKI000:nom_MotorGasolin</t>
  </si>
  <si>
    <t>IKI000:nom_DistillateOi</t>
  </si>
  <si>
    <t>IKI000:nom_ResidualOil</t>
  </si>
  <si>
    <t>IKI000:nom_Asphalt</t>
  </si>
  <si>
    <t>IKI000:nom_NaturalGasHP</t>
  </si>
  <si>
    <t>IKI000:nom_NaturalGasFd</t>
  </si>
  <si>
    <t>IKI000:nom_Metallurgica</t>
  </si>
  <si>
    <t>IKI000:nom_SteamCoal</t>
  </si>
  <si>
    <t>IKI000:nom_CoaltoLiquid</t>
  </si>
  <si>
    <t>IKI000:nom_Electricity</t>
  </si>
  <si>
    <t>Energy Consumption 1/ (quadrillion Btu)</t>
  </si>
  <si>
    <t xml:space="preserve"> Industrial Consumption Excluding Refining</t>
  </si>
  <si>
    <t>IKI000:ia_LiqPetGasHeat</t>
  </si>
  <si>
    <t xml:space="preserve">   Propane Heat and Power</t>
  </si>
  <si>
    <t>IKI000:ia_LiqPetGasFeed</t>
  </si>
  <si>
    <t xml:space="preserve">   Liquefied Petroleum Gas and Other Feedstocks</t>
  </si>
  <si>
    <t>IKI000:ia_MotorGasoline</t>
  </si>
  <si>
    <t>IKI000:ia_Distillate</t>
  </si>
  <si>
    <t>IKI000:ia_ResidualFuel</t>
  </si>
  <si>
    <t>IKI000:ia_Petrochemical</t>
  </si>
  <si>
    <t xml:space="preserve">   Petrochemical Feedstocks</t>
  </si>
  <si>
    <t>IKI000:ia_PetroleumCoke</t>
  </si>
  <si>
    <t xml:space="preserve">   Petroleum Coke</t>
  </si>
  <si>
    <t>IKI000:ia_Asphalt</t>
  </si>
  <si>
    <t>IKI000:ia_Miscellaneous</t>
  </si>
  <si>
    <t xml:space="preserve">   Miscellaneous Petroleum 3/</t>
  </si>
  <si>
    <t>IKI000:ia_PetroleumSubt</t>
  </si>
  <si>
    <t xml:space="preserve">     Petroleum and Other Liquids Subtotal</t>
  </si>
  <si>
    <t>IKI000:ia_NatralGasHeat</t>
  </si>
  <si>
    <t>IKI000:ia_NatralGasFeed</t>
  </si>
  <si>
    <t>IKI000:ia_LeaseandPlant</t>
  </si>
  <si>
    <t xml:space="preserve">   Lease and Plant Fuel 4/</t>
  </si>
  <si>
    <t>IKI000:ia_liquefactexp</t>
  </si>
  <si>
    <t>IKI000:ia_NaturalGasSub</t>
  </si>
  <si>
    <t xml:space="preserve">     Natural Gas Subtotal</t>
  </si>
  <si>
    <t>IKI000:ia_Metallurgical</t>
  </si>
  <si>
    <t xml:space="preserve">   Metallurgical Coal and Coke 6/</t>
  </si>
  <si>
    <t>IKI000:ia_SteamCoal</t>
  </si>
  <si>
    <t>IKI000:ia_CoalSubtotal</t>
  </si>
  <si>
    <t xml:space="preserve">     Coal Subtotal</t>
  </si>
  <si>
    <t>IKI000:ia_Renewables</t>
  </si>
  <si>
    <t xml:space="preserve">   Renewables 7/</t>
  </si>
  <si>
    <t>IKI000:ia_PurchasedElec</t>
  </si>
  <si>
    <t xml:space="preserve">   Purchased Electricity</t>
  </si>
  <si>
    <t>IKI000:ia_DeliveredEner</t>
  </si>
  <si>
    <t xml:space="preserve">     Delivered Energy</t>
  </si>
  <si>
    <t>IKI000:ia_ElectricityRe</t>
  </si>
  <si>
    <t xml:space="preserve">   Electricity Related Losses</t>
  </si>
  <si>
    <t>IKI000:ia_Total</t>
  </si>
  <si>
    <t xml:space="preserve"> Refining Consumption</t>
  </si>
  <si>
    <t>IKI000:ka_LiqPetGasHeat</t>
  </si>
  <si>
    <t xml:space="preserve">   Liquefied Petroleum Gas Heat and Power 2/</t>
  </si>
  <si>
    <t>IKI000:ka_Distillate</t>
  </si>
  <si>
    <t>IKI000:ka_ResidualFuel</t>
  </si>
  <si>
    <t>IKI000:ka_PetroleumCoke</t>
  </si>
  <si>
    <t>IKI000:ka_StillGasAll</t>
  </si>
  <si>
    <t xml:space="preserve">   Still Gas</t>
  </si>
  <si>
    <t>IKI000:ka_Miscellaneous</t>
  </si>
  <si>
    <t>IKI000:ka_PetroleumSubt</t>
  </si>
  <si>
    <t>IKI000:ka_NatralGasHeat</t>
  </si>
  <si>
    <t>IKI000:ka_NaturalFeedst</t>
  </si>
  <si>
    <t>IKI000:ka_NatGas2LiqH&amp;P</t>
  </si>
  <si>
    <t xml:space="preserve">   Natural-Gas-to-Liquids Heat and Power</t>
  </si>
  <si>
    <t>IKI000:ka_NaturalGasSub</t>
  </si>
  <si>
    <t>IKI000:ka_SteamCoal</t>
  </si>
  <si>
    <t>IKI000:ka_CoaltoLiquids</t>
  </si>
  <si>
    <t xml:space="preserve">   Coal-to-Liquids Heat and Power</t>
  </si>
  <si>
    <t>IKI000:ka_CoalSubtotal</t>
  </si>
  <si>
    <t>IKI000:ka_BiofuelHeatCo</t>
  </si>
  <si>
    <t xml:space="preserve">   Biofuels Heat and Coproducts</t>
  </si>
  <si>
    <t>IKI000:ka_PurchasedElec</t>
  </si>
  <si>
    <t>IKI000:ka_DeliveredEner</t>
  </si>
  <si>
    <t>IKI000:ka_ElectricityRe</t>
  </si>
  <si>
    <t>IKI000:ka_Total</t>
  </si>
  <si>
    <t xml:space="preserve"> Total Industrial Sector Consumption</t>
  </si>
  <si>
    <t>IKI000:da_LiqPetGasHeat</t>
  </si>
  <si>
    <t>IKI000:da_LiqPetGasFeed</t>
  </si>
  <si>
    <t>IKI000:da_MotorGasoline</t>
  </si>
  <si>
    <t>IKI000:da_Distillate</t>
  </si>
  <si>
    <t>IKI000:da_ResidualFuel</t>
  </si>
  <si>
    <t>IKI000:da_Petrochemical</t>
  </si>
  <si>
    <t>IKI000:da_PetroleumCoke</t>
  </si>
  <si>
    <t>IKI000:da_Asphalt</t>
  </si>
  <si>
    <t>IKI000:da_StillGas</t>
  </si>
  <si>
    <t>IKI000:da_Miscellaneous</t>
  </si>
  <si>
    <t>IKI000:da_PetroleumSubt</t>
  </si>
  <si>
    <t>IKI000:da_NatralGasHeat</t>
  </si>
  <si>
    <t>IKI000:da_NatralGasFeed</t>
  </si>
  <si>
    <t>IKI000:da_NatGas2LiqH&amp;P</t>
  </si>
  <si>
    <t>IKI000:da_LeaseandPlant</t>
  </si>
  <si>
    <t>IKI000:da_liquefactexp</t>
  </si>
  <si>
    <t>IKI000:da_NaturalGasSub</t>
  </si>
  <si>
    <t>IKI000:da_Metallurgical</t>
  </si>
  <si>
    <t>IKI000:da_SteamCoal</t>
  </si>
  <si>
    <t>IKI000:da_CoaltoLiquids</t>
  </si>
  <si>
    <t>IKI000:da_CoalSubtotal</t>
  </si>
  <si>
    <t>IKI000:da_BiofuelHeatCo</t>
  </si>
  <si>
    <t>IKI000:da_Renewables</t>
  </si>
  <si>
    <t>IKI000:da_PurchasedElec</t>
  </si>
  <si>
    <t>IKI000:da_DeliveredEner</t>
  </si>
  <si>
    <t>IKI000:da_ElectricityRe</t>
  </si>
  <si>
    <t>IKI000:da_Total</t>
  </si>
  <si>
    <t>Energy Consumption per dollar of Shipments 1/</t>
  </si>
  <si>
    <t>IKI000:ea_LiqPetGasHeat</t>
  </si>
  <si>
    <t>IKI000:ea_LiqPetGasFeed</t>
  </si>
  <si>
    <t>IKI000:ea_MotorGasoline</t>
  </si>
  <si>
    <t>IKI000:ea_Distillate</t>
  </si>
  <si>
    <t>IKI000:ea_ResidualFuel</t>
  </si>
  <si>
    <t>IKI000:ea_Petrochemical</t>
  </si>
  <si>
    <t>IKI000:ea_PetroleumCoke</t>
  </si>
  <si>
    <t>IKI000:ea_Asphalt</t>
  </si>
  <si>
    <t>IKI000:ea_StillGas</t>
  </si>
  <si>
    <t>IKI000:ea_Miscellaneous</t>
  </si>
  <si>
    <t>IKI000:ea_PetroleumSubt</t>
  </si>
  <si>
    <t>IKI000:ea_NatralGasHeat</t>
  </si>
  <si>
    <t>IKI000:ea_NatralGasFeed</t>
  </si>
  <si>
    <t xml:space="preserve">   Natural Gas Feedstock</t>
  </si>
  <si>
    <t>IKI000:ea_NatGas2LiqH&amp;P</t>
  </si>
  <si>
    <t>IKI000:ea_LeaseandPlant</t>
  </si>
  <si>
    <t>IKI000:ea_liquefactexp</t>
  </si>
  <si>
    <t>IKI000:ea_NaturalGasSub</t>
  </si>
  <si>
    <t>IKI000:ea_Metallurgical</t>
  </si>
  <si>
    <t>IKI000:ea_SteamCoal</t>
  </si>
  <si>
    <t>IKI000:ea_CoaltoLiquids</t>
  </si>
  <si>
    <t>IKI000:ea_CoalSubtotal</t>
  </si>
  <si>
    <t>IKI000:ea_BiofuelHeatCo</t>
  </si>
  <si>
    <t>IKI000:ea_Renewables</t>
  </si>
  <si>
    <t>IKI000:ea_PurchasedElec</t>
  </si>
  <si>
    <t>IKI000:ea_DeliveredEner</t>
  </si>
  <si>
    <t>IKI000:ea_ElectricityRe</t>
  </si>
  <si>
    <t>IKI000:ea_Total</t>
  </si>
  <si>
    <t>Total Industrial Combined Heat and Power 1/</t>
  </si>
  <si>
    <t>IKI000:ha_Capacity(giga</t>
  </si>
  <si>
    <t xml:space="preserve">  Capacity (gigawatts)</t>
  </si>
  <si>
    <t>IKI000:ha_Generation(bi</t>
  </si>
  <si>
    <t xml:space="preserve">  Generation (billion kilowatthours)</t>
  </si>
  <si>
    <t xml:space="preserve">   1/ Includes combined heat and power plants that have a non-regulatory status, and small on-site generating systems.</t>
  </si>
  <si>
    <t xml:space="preserve">   2/ Includes ethane, natural gasoline, and refinery olefins.</t>
  </si>
  <si>
    <t xml:space="preserve">   3/ Includes lubricants and miscellaneous petroleum products.</t>
  </si>
  <si>
    <t xml:space="preserve">   4/ Represents natural gas used in well, field, and lease operations, and in natural gas processing plant machinery.</t>
  </si>
  <si>
    <t xml:space="preserve">   5/ Fuel used in facilities that liquefy natural gas for export.</t>
  </si>
  <si>
    <t xml:space="preserve">   6/ Includes net coal coke imports.</t>
  </si>
  <si>
    <t xml:space="preserve">   7/ Includes consumption of energy produced from hydroelectric, wood and wood waste, municipal waste, and other biomass sources.</t>
  </si>
  <si>
    <t xml:space="preserve">   Btu = British thermal unit.</t>
  </si>
  <si>
    <t xml:space="preserve">   - - = Not applicable.</t>
  </si>
  <si>
    <t xml:space="preserve">   Note:  Includes estimated consumption for petroleum and other liquids.  Totals may not equal sum of components due to independent rounding.</t>
  </si>
  <si>
    <r>
      <rPr>
        <b/>
        <sz val="9"/>
        <rFont val="Times New Roman"/>
        <family val="1"/>
      </rPr>
      <t xml:space="preserve">Adjusted Non-Energy
</t>
    </r>
    <r>
      <rPr>
        <b/>
        <sz val="9"/>
        <rFont val="Times New Roman"/>
        <family val="1"/>
      </rPr>
      <t>Use</t>
    </r>
    <r>
      <rPr>
        <b/>
        <sz val="6"/>
        <rFont val="Times New Roman"/>
        <family val="1"/>
      </rPr>
      <t>a</t>
    </r>
  </si>
  <si>
    <r>
      <rPr>
        <b/>
        <sz val="9"/>
        <rFont val="Times New Roman"/>
        <family val="1"/>
      </rPr>
      <t>Carbon Content Coefficient</t>
    </r>
  </si>
  <si>
    <r>
      <rPr>
        <b/>
        <sz val="9"/>
        <rFont val="Times New Roman"/>
        <family val="1"/>
      </rPr>
      <t>Potential Carbon</t>
    </r>
  </si>
  <si>
    <r>
      <rPr>
        <b/>
        <sz val="9"/>
        <rFont val="Times New Roman"/>
        <family val="1"/>
      </rPr>
      <t>Storage Factor</t>
    </r>
  </si>
  <si>
    <r>
      <rPr>
        <b/>
        <sz val="9"/>
        <rFont val="Times New Roman"/>
        <family val="1"/>
      </rPr>
      <t>Carbon Stored</t>
    </r>
  </si>
  <si>
    <r>
      <rPr>
        <b/>
        <sz val="9"/>
        <rFont val="Times New Roman"/>
        <family val="1"/>
      </rPr>
      <t>Carbon Emissions</t>
    </r>
  </si>
  <si>
    <r>
      <rPr>
        <b/>
        <sz val="9"/>
        <rFont val="Times New Roman"/>
        <family val="1"/>
      </rPr>
      <t>Sector/Fuel Type</t>
    </r>
  </si>
  <si>
    <r>
      <rPr>
        <b/>
        <sz val="9"/>
        <rFont val="Times New Roman"/>
        <family val="1"/>
      </rPr>
      <t>(TBtu)</t>
    </r>
  </si>
  <si>
    <r>
      <rPr>
        <b/>
        <sz val="9"/>
        <rFont val="Times New Roman"/>
        <family val="1"/>
      </rPr>
      <t xml:space="preserve">(MMT
</t>
    </r>
    <r>
      <rPr>
        <b/>
        <sz val="9"/>
        <rFont val="Times New Roman"/>
        <family val="1"/>
      </rPr>
      <t>C/QBtu)</t>
    </r>
  </si>
  <si>
    <r>
      <rPr>
        <b/>
        <sz val="9"/>
        <rFont val="Times New Roman"/>
        <family val="1"/>
      </rPr>
      <t>(MMT C)</t>
    </r>
  </si>
  <si>
    <r>
      <rPr>
        <b/>
        <sz val="9"/>
        <rFont val="Times New Roman"/>
        <family val="1"/>
      </rPr>
      <t>(MMT CO</t>
    </r>
    <r>
      <rPr>
        <b/>
        <sz val="6"/>
        <rFont val="Times New Roman"/>
        <family val="1"/>
      </rPr>
      <t xml:space="preserve">2 </t>
    </r>
    <r>
      <rPr>
        <b/>
        <sz val="9"/>
        <rFont val="Times New Roman"/>
        <family val="1"/>
      </rPr>
      <t>Eq.)</t>
    </r>
  </si>
  <si>
    <r>
      <rPr>
        <b/>
        <sz val="9"/>
        <rFont val="Times New Roman"/>
        <family val="1"/>
      </rPr>
      <t>Industry</t>
    </r>
  </si>
  <si>
    <r>
      <rPr>
        <sz val="9"/>
        <rFont val="Times New Roman"/>
        <family val="1"/>
      </rPr>
      <t>Industrial Coking Coal</t>
    </r>
  </si>
  <si>
    <r>
      <rPr>
        <sz val="9"/>
        <rFont val="Times New Roman"/>
        <family val="1"/>
      </rPr>
      <t>Industrial Other Coal</t>
    </r>
  </si>
  <si>
    <r>
      <rPr>
        <sz val="9"/>
        <rFont val="Times New Roman"/>
        <family val="1"/>
      </rPr>
      <t>Natural Gas to Chemical Plants</t>
    </r>
  </si>
  <si>
    <r>
      <rPr>
        <sz val="9"/>
        <rFont val="Times New Roman"/>
        <family val="1"/>
      </rPr>
      <t>Asphalt &amp; Road Oil</t>
    </r>
  </si>
  <si>
    <r>
      <rPr>
        <sz val="9"/>
        <rFont val="Times New Roman"/>
        <family val="1"/>
      </rPr>
      <t>LPG</t>
    </r>
  </si>
  <si>
    <r>
      <rPr>
        <sz val="9"/>
        <rFont val="Times New Roman"/>
        <family val="1"/>
      </rPr>
      <t>Lubricants</t>
    </r>
  </si>
  <si>
    <r>
      <rPr>
        <sz val="9"/>
        <rFont val="Times New Roman"/>
        <family val="1"/>
      </rPr>
      <t>Pentanes Plus</t>
    </r>
  </si>
  <si>
    <r>
      <rPr>
        <sz val="9"/>
        <rFont val="Times New Roman"/>
        <family val="1"/>
      </rPr>
      <t>Naphtha (&lt;401° F)</t>
    </r>
  </si>
  <si>
    <r>
      <rPr>
        <sz val="9"/>
        <rFont val="Times New Roman"/>
        <family val="1"/>
      </rPr>
      <t>Other Oil (&gt;401° F)</t>
    </r>
  </si>
  <si>
    <r>
      <rPr>
        <sz val="9"/>
        <rFont val="Times New Roman"/>
        <family val="1"/>
      </rPr>
      <t>Still Gas</t>
    </r>
  </si>
  <si>
    <r>
      <rPr>
        <sz val="9"/>
        <rFont val="Times New Roman"/>
        <family val="1"/>
      </rPr>
      <t>Petroleum Coke</t>
    </r>
  </si>
  <si>
    <r>
      <rPr>
        <sz val="9"/>
        <rFont val="Times New Roman"/>
        <family val="1"/>
      </rPr>
      <t>Special Naphtha</t>
    </r>
  </si>
  <si>
    <r>
      <rPr>
        <sz val="9"/>
        <rFont val="Times New Roman"/>
        <family val="1"/>
      </rPr>
      <t>Distillate Fuel Oil</t>
    </r>
  </si>
  <si>
    <r>
      <rPr>
        <sz val="9"/>
        <rFont val="Times New Roman"/>
        <family val="1"/>
      </rPr>
      <t>Waxes</t>
    </r>
  </si>
  <si>
    <r>
      <rPr>
        <sz val="9"/>
        <rFont val="Times New Roman"/>
        <family val="1"/>
      </rPr>
      <t>Miscellaneous Products</t>
    </r>
  </si>
  <si>
    <r>
      <rPr>
        <b/>
        <sz val="9"/>
        <rFont val="Times New Roman"/>
        <family val="1"/>
      </rPr>
      <t>Transportation</t>
    </r>
  </si>
  <si>
    <r>
      <rPr>
        <b/>
        <sz val="9"/>
        <rFont val="Times New Roman"/>
        <family val="1"/>
      </rPr>
      <t>U.S. Territories</t>
    </r>
  </si>
  <si>
    <r>
      <rPr>
        <sz val="9"/>
        <rFont val="Times New Roman"/>
        <family val="1"/>
      </rPr>
      <t>Other Petroleum (Misc. Prod.)</t>
    </r>
  </si>
  <si>
    <r>
      <rPr>
        <b/>
        <sz val="9"/>
        <rFont val="Times New Roman"/>
        <family val="1"/>
      </rPr>
      <t>Total</t>
    </r>
  </si>
  <si>
    <r>
      <rPr>
        <sz val="9"/>
        <rFont val="Times New Roman"/>
        <family val="1"/>
      </rPr>
      <t>+ Does not exceed 0.05 TBtu, MMT C, MMT CO</t>
    </r>
    <r>
      <rPr>
        <sz val="6"/>
        <rFont val="Times New Roman"/>
        <family val="1"/>
      </rPr>
      <t xml:space="preserve">2 </t>
    </r>
    <r>
      <rPr>
        <sz val="9"/>
        <rFont val="Times New Roman"/>
        <family val="1"/>
      </rPr>
      <t xml:space="preserve">Eq. NA (Not Applicable)
</t>
    </r>
    <r>
      <rPr>
        <sz val="6"/>
        <rFont val="Times New Roman"/>
        <family val="1"/>
      </rPr>
      <t xml:space="preserve">a </t>
    </r>
    <r>
      <rPr>
        <sz val="9"/>
        <rFont val="Times New Roman"/>
        <family val="1"/>
      </rPr>
      <t>To avoid double counting, net exports have been deducted. Note: Totals may not sum due to independent rounding.</t>
    </r>
  </si>
  <si>
    <t>Iron and Steel</t>
  </si>
  <si>
    <t>Natural Gas and Petroleum Systems</t>
  </si>
  <si>
    <t>Chemicals</t>
  </si>
  <si>
    <r>
      <rPr>
        <b/>
        <sz val="10"/>
        <rFont val="Tahoma"/>
        <family val="2"/>
      </rPr>
      <t>Table 3-28: Coal Production (kt)</t>
    </r>
  </si>
  <si>
    <r>
      <rPr>
        <b/>
        <sz val="10"/>
        <rFont val="Tahoma"/>
        <family val="2"/>
      </rPr>
      <t>Table 3-30: CH</t>
    </r>
    <r>
      <rPr>
        <b/>
        <sz val="7"/>
        <rFont val="Tahoma"/>
        <family val="2"/>
      </rPr>
      <t xml:space="preserve">4 </t>
    </r>
    <r>
      <rPr>
        <b/>
        <sz val="10"/>
        <rFont val="Tahoma"/>
        <family val="2"/>
      </rPr>
      <t>Emissions from Coal Mining (kt)</t>
    </r>
  </si>
  <si>
    <r>
      <rPr>
        <b/>
        <sz val="9"/>
        <rFont val="Times New Roman"/>
        <family val="1"/>
      </rPr>
      <t>Activity</t>
    </r>
  </si>
  <si>
    <r>
      <rPr>
        <sz val="9"/>
        <rFont val="Times New Roman"/>
        <family val="1"/>
      </rPr>
      <t>UG Mining</t>
    </r>
  </si>
  <si>
    <r>
      <rPr>
        <sz val="9"/>
        <rFont val="Times New Roman"/>
        <family val="1"/>
      </rPr>
      <t>Liberated</t>
    </r>
  </si>
  <si>
    <r>
      <rPr>
        <sz val="9"/>
        <rFont val="Times New Roman"/>
        <family val="1"/>
      </rPr>
      <t>Recovered &amp; Used</t>
    </r>
  </si>
  <si>
    <r>
      <rPr>
        <sz val="9"/>
        <rFont val="Times New Roman"/>
        <family val="1"/>
      </rPr>
      <t>Surface Mining</t>
    </r>
  </si>
  <si>
    <r>
      <rPr>
        <sz val="9"/>
        <rFont val="Times New Roman"/>
        <family val="1"/>
      </rPr>
      <t>Post-Mining (UG)</t>
    </r>
  </si>
  <si>
    <r>
      <rPr>
        <sz val="9"/>
        <rFont val="Times New Roman"/>
        <family val="1"/>
      </rPr>
      <t>Post-Mining (Surface)</t>
    </r>
  </si>
  <si>
    <r>
      <rPr>
        <sz val="9"/>
        <rFont val="Times New Roman"/>
        <family val="1"/>
      </rPr>
      <t>Notes: Totals may not sum due to independent rounding. Parentheses indicate negative values.</t>
    </r>
  </si>
  <si>
    <t>Year</t>
  </si>
  <si>
    <t>Underground number of mines</t>
  </si>
  <si>
    <t>underground production</t>
  </si>
  <si>
    <t>surface number of mines</t>
  </si>
  <si>
    <t>surface production</t>
  </si>
  <si>
    <t>total number of mines</t>
  </si>
  <si>
    <t>total production</t>
  </si>
  <si>
    <t>Underground Mining</t>
  </si>
  <si>
    <t>Surface Mining</t>
  </si>
  <si>
    <t>Calculated Emissions Factors (kt CH4 emissions/kt coal production)</t>
  </si>
  <si>
    <t>2011-2015 Average</t>
  </si>
  <si>
    <t>Central Appalachia</t>
  </si>
  <si>
    <t>Southern Appalachia</t>
  </si>
  <si>
    <t>Eastern Interior</t>
  </si>
  <si>
    <t>Western Interior High Sulfur (Bituminous)</t>
  </si>
  <si>
    <t>Gulf</t>
  </si>
  <si>
    <t>Dakota Medium Sulfur (Lignite)</t>
  </si>
  <si>
    <t>Western Montana</t>
  </si>
  <si>
    <t>Western Wyoming</t>
  </si>
  <si>
    <t>Rocky Mountain</t>
  </si>
  <si>
    <t>Arizona/New Mexico</t>
  </si>
  <si>
    <t>Washington/Alaska</t>
  </si>
  <si>
    <t>Subtotals:  All Regions</t>
  </si>
  <si>
    <t>United States Total</t>
  </si>
  <si>
    <t>Waste Coal</t>
  </si>
  <si>
    <t>CH4 Recovery from UM</t>
  </si>
  <si>
    <t>Calculated Methane Recovery Use Fraction</t>
  </si>
  <si>
    <t>Underground Production</t>
  </si>
  <si>
    <t>Surface Production</t>
  </si>
  <si>
    <t>Forecasted Production</t>
  </si>
  <si>
    <t>Output (Million tons)</t>
  </si>
  <si>
    <t>Forecasted Emissions</t>
  </si>
  <si>
    <t>Emissions (kt CH4)</t>
  </si>
  <si>
    <t>Sources:</t>
  </si>
  <si>
    <t>Source</t>
  </si>
  <si>
    <t>Source Category</t>
  </si>
  <si>
    <t>Energy</t>
  </si>
  <si>
    <t>Stationary Source Combustion</t>
  </si>
  <si>
    <t>Mobile Source Combustion</t>
  </si>
  <si>
    <t>Industrial Processes</t>
  </si>
  <si>
    <t>Magnesium Production and Processing</t>
  </si>
  <si>
    <t>HCFC-22 Production</t>
  </si>
  <si>
    <t>Subsitution of Ozone Depleting Substances</t>
  </si>
  <si>
    <t>Semiconductor Manufacturing</t>
  </si>
  <si>
    <t>Electrical Transmission and Distribution</t>
  </si>
  <si>
    <t>Agriculture</t>
  </si>
  <si>
    <t>Enteric Fermentation</t>
  </si>
  <si>
    <t>Manure Management</t>
  </si>
  <si>
    <t>Agricultural Soil Management</t>
  </si>
  <si>
    <t>Waste</t>
  </si>
  <si>
    <t>Landfills</t>
  </si>
  <si>
    <t>Model Category</t>
  </si>
  <si>
    <t>Mining</t>
  </si>
  <si>
    <t>Production</t>
  </si>
  <si>
    <t>Cement</t>
  </si>
  <si>
    <t>Other</t>
  </si>
  <si>
    <t>Transportation</t>
  </si>
  <si>
    <t>Refining</t>
  </si>
  <si>
    <t>Crude Refining</t>
  </si>
  <si>
    <t>Historical US Crude Oil Production</t>
  </si>
  <si>
    <t>https://www.epa.gov/sites/production/files/2017-02/documents/2017_complete_report.pdf</t>
  </si>
  <si>
    <t>https://www.eia.gov/dnav/pet/pet_crd_crpdn_adc_mbbl_a.htm</t>
  </si>
  <si>
    <t>Annual-Thousand Barrels</t>
  </si>
  <si>
    <t>Field Production (Commercial)</t>
  </si>
  <si>
    <t>Alaskan</t>
  </si>
  <si>
    <t>Lower 48 States</t>
  </si>
  <si>
    <t>Imports</t>
  </si>
  <si>
    <t>Commercial</t>
  </si>
  <si>
    <t>Strategic Petroleum Reserve (SPR)</t>
  </si>
  <si>
    <t>Adjustments (Commercial)</t>
  </si>
  <si>
    <t>Historical US Crude Oil Supply</t>
  </si>
  <si>
    <t>https://www.eia.gov/dnav/pet/pet_sum_crdsnd_k_a.htm</t>
  </si>
  <si>
    <t>Total</t>
  </si>
  <si>
    <t>Emissions Factors Calculation</t>
  </si>
  <si>
    <t>Total (thousand barrels)</t>
  </si>
  <si>
    <t>Production - CH4</t>
  </si>
  <si>
    <t>Production - CO2</t>
  </si>
  <si>
    <t>Transportation (quantity not EF) - CH4</t>
  </si>
  <si>
    <t>Refining - CH4</t>
  </si>
  <si>
    <t>Refining CO2</t>
  </si>
  <si>
    <t>Emissions Factors (kt/1000 barrels)</t>
  </si>
  <si>
    <t>5 year Average</t>
  </si>
  <si>
    <t>Base Year Emissions</t>
  </si>
  <si>
    <t>Emissions Projections</t>
  </si>
  <si>
    <t>Base Year Inventory Production</t>
  </si>
  <si>
    <t>Base Year Inventory Refining</t>
  </si>
  <si>
    <t>Net Import Share of Product Supplied (percent)</t>
  </si>
  <si>
    <t>Expenditures for Imported Crude Oil and</t>
  </si>
  <si>
    <t>Reference case</t>
  </si>
  <si>
    <t>PSD000</t>
  </si>
  <si>
    <t>11. Petroleum and Other Liquids Supply and Disposition</t>
  </si>
  <si>
    <t>(million barrels per day, unless otherwise noted)</t>
  </si>
  <si>
    <t xml:space="preserve"> Supply and Disposition</t>
  </si>
  <si>
    <t xml:space="preserve"> Crude Oil</t>
  </si>
  <si>
    <t>PSD000:ba_DomesticCrude</t>
  </si>
  <si>
    <t xml:space="preserve">   Domestic Crude Production 1/</t>
  </si>
  <si>
    <t>PSD000:ba_Alaska</t>
  </si>
  <si>
    <t xml:space="preserve">     Alaska</t>
  </si>
  <si>
    <t>PSD000:ba_Lower48States</t>
  </si>
  <si>
    <t xml:space="preserve">     Lower 48 States</t>
  </si>
  <si>
    <t>PSD000:ba_NetImports</t>
  </si>
  <si>
    <t xml:space="preserve">   Net Imports</t>
  </si>
  <si>
    <t>PSD000:ba_GrossImports</t>
  </si>
  <si>
    <t xml:space="preserve">     Gross Imports</t>
  </si>
  <si>
    <t>PSD000:ba_Exports</t>
  </si>
  <si>
    <t xml:space="preserve">     Exports</t>
  </si>
  <si>
    <t>PSD000:ba_OtherCrudeSup</t>
  </si>
  <si>
    <t xml:space="preserve">   Other Crude Supply 2/</t>
  </si>
  <si>
    <t>PSD000:ba_TotalCrudeSup</t>
  </si>
  <si>
    <t xml:space="preserve">     Total Crude Supply</t>
  </si>
  <si>
    <t>PSD000:ca_NetProductImp</t>
  </si>
  <si>
    <t xml:space="preserve"> Net Product Imports</t>
  </si>
  <si>
    <t>PSD000:ca_GrossRefinedP</t>
  </si>
  <si>
    <t xml:space="preserve">   Gross Refined Product Imports 3/</t>
  </si>
  <si>
    <t>PSD000:ca_UnfinishedOil</t>
  </si>
  <si>
    <t xml:space="preserve">   Unfinished Oil Imports</t>
  </si>
  <si>
    <t>PSD000:ca_BlendingCompo</t>
  </si>
  <si>
    <t xml:space="preserve">   Blending Component Imports</t>
  </si>
  <si>
    <t>PSD000:ca_Exports</t>
  </si>
  <si>
    <t xml:space="preserve">   Exports</t>
  </si>
  <si>
    <t>PSD000:ca_RefineryProce</t>
  </si>
  <si>
    <t xml:space="preserve"> Refinery Processing Gain 4/</t>
  </si>
  <si>
    <t>PSD000:ProductStockDraw</t>
  </si>
  <si>
    <t xml:space="preserve"> Product Stock Withdrawal</t>
  </si>
  <si>
    <t>PSD000:ca_NaturalGasPla</t>
  </si>
  <si>
    <t xml:space="preserve"> Natural Gas Plant Liquids</t>
  </si>
  <si>
    <t>PSD000:from_Renewables</t>
  </si>
  <si>
    <t xml:space="preserve"> Supply from Renewable Sources</t>
  </si>
  <si>
    <t>PSD000:cb_TotalEthanol</t>
  </si>
  <si>
    <t xml:space="preserve">   Ethanol</t>
  </si>
  <si>
    <t>PSD000:ca_DomesticEthan</t>
  </si>
  <si>
    <t xml:space="preserve">     Domestic Production</t>
  </si>
  <si>
    <t>PSD000:ca_EthanolImport</t>
  </si>
  <si>
    <t xml:space="preserve">     Net Imports</t>
  </si>
  <si>
    <t>PSD000:ca_EthanolWithdr</t>
  </si>
  <si>
    <t xml:space="preserve">     Stock Withdrawal</t>
  </si>
  <si>
    <t>PSD000:cb_TotalBiodiesl</t>
  </si>
  <si>
    <t xml:space="preserve">   Biodiesel</t>
  </si>
  <si>
    <t>PSD000:cb_DomesticBiodi</t>
  </si>
  <si>
    <t>PSD000:cb_BiodieselImpo</t>
  </si>
  <si>
    <t>PSD000:cb_BiodieselWith</t>
  </si>
  <si>
    <t>PSD000:Other_BM-derived</t>
  </si>
  <si>
    <t xml:space="preserve">   Other Biomass-derived Liquids 5/</t>
  </si>
  <si>
    <t>PSD000:Other_BM_Dome</t>
  </si>
  <si>
    <t>PSD000:Other_BM_NetImp</t>
  </si>
  <si>
    <t>PSD000:Other_BM_Stock</t>
  </si>
  <si>
    <t>PSD000:AllLiquidsfromGa</t>
  </si>
  <si>
    <t xml:space="preserve"> Liquids from Gas</t>
  </si>
  <si>
    <t>PSD000:ca_LiquidsfromCo</t>
  </si>
  <si>
    <t xml:space="preserve"> Liquids from Coal</t>
  </si>
  <si>
    <t>PSD000:ca_OtherOther</t>
  </si>
  <si>
    <t xml:space="preserve"> Other 6/</t>
  </si>
  <si>
    <t>PSD000:da_TotalPrimaryS</t>
  </si>
  <si>
    <t xml:space="preserve"> Total Primary Supply 7/</t>
  </si>
  <si>
    <t xml:space="preserve"> Product Supplied</t>
  </si>
  <si>
    <t xml:space="preserve">   by Fuel</t>
  </si>
  <si>
    <t>PSD000:ea_LiqPetGas</t>
  </si>
  <si>
    <t xml:space="preserve">     Liquefied Petroleum Gases and Other 8/</t>
  </si>
  <si>
    <t>PSD000:ea_MotorGasoline</t>
  </si>
  <si>
    <t xml:space="preserve">     Motor Gasoline 9/</t>
  </si>
  <si>
    <t>PSD000:ea_E85E85E85E85</t>
  </si>
  <si>
    <t xml:space="preserve">        of which:  E85 10/</t>
  </si>
  <si>
    <t>PSD000:ea_JetFuel</t>
  </si>
  <si>
    <t xml:space="preserve">     Jet Fuel 11/</t>
  </si>
  <si>
    <t>PSD000:ea_DistillateFue</t>
  </si>
  <si>
    <t xml:space="preserve">     Distillate Fuel Oil 12/</t>
  </si>
  <si>
    <t>PSD000:eb_DieselAllSect</t>
  </si>
  <si>
    <t xml:space="preserve">       of which:  Diesel</t>
  </si>
  <si>
    <t>PSD000:ea_ResidualFuel</t>
  </si>
  <si>
    <t xml:space="preserve">     Residual Fuel Oil</t>
  </si>
  <si>
    <t>PSD000:ea_Other</t>
  </si>
  <si>
    <t xml:space="preserve">     Other 13/</t>
  </si>
  <si>
    <t xml:space="preserve">   by Sector</t>
  </si>
  <si>
    <t>PSD000:fa_Residentialan</t>
  </si>
  <si>
    <t xml:space="preserve">     Residential and Commercial</t>
  </si>
  <si>
    <t>PSD000:fa_Industrial</t>
  </si>
  <si>
    <t xml:space="preserve">     Industrial 14/</t>
  </si>
  <si>
    <t>PSD000:fa_Transportatio</t>
  </si>
  <si>
    <t xml:space="preserve">     Transportation</t>
  </si>
  <si>
    <t>PSD000:fa_ElectricPower</t>
  </si>
  <si>
    <t xml:space="preserve">     Electric Power 15/</t>
  </si>
  <si>
    <t>PSD000:fa_balancesector</t>
  </si>
  <si>
    <t xml:space="preserve">     Unspecified Sector 16/</t>
  </si>
  <si>
    <t>PSD000:fa_Total</t>
  </si>
  <si>
    <t xml:space="preserve">   Total</t>
  </si>
  <si>
    <t>PSD000:ga_Discrepancy</t>
  </si>
  <si>
    <t xml:space="preserve"> Discrepancy 17/</t>
  </si>
  <si>
    <t>PSD000:ha_DomesticRefin</t>
  </si>
  <si>
    <t>Domestic Refinery Distillation Capacity 18/</t>
  </si>
  <si>
    <t>PSD000:ha_CapacityUtili</t>
  </si>
  <si>
    <t>Capacity Utilization Rate (percent) 19/</t>
  </si>
  <si>
    <t>PSD000:ha_ImportShareof</t>
  </si>
  <si>
    <t>PSD000:ha_PetroleumProd</t>
  </si>
  <si>
    <t xml:space="preserve">   1/ Includes lease condensate.</t>
  </si>
  <si>
    <t xml:space="preserve">   2/ Strategic petroleum reserve stock additions plus unaccounted for crude oil and crude oil stock withdrawals.</t>
  </si>
  <si>
    <t xml:space="preserve">   3/ Includes other hydrocarbons and alcohols.</t>
  </si>
  <si>
    <t xml:space="preserve">   4/ The volumetric amount by which total output is greater than input due to the processing of crude oil into products which, in total,</t>
  </si>
  <si>
    <t>have a lower specific gravity than the crude oil processed.</t>
  </si>
  <si>
    <t xml:space="preserve">   5/ Includes pyrolysis oils, biomass-derived Fischer-Tropsch liquids, biobutanol, and renewable feedstocks used for the</t>
  </si>
  <si>
    <t>on-site production of diesel and gasoline.</t>
  </si>
  <si>
    <t xml:space="preserve">   6/ Includes domestic sources of other blending components, other hydrocarbons, and ethers.</t>
  </si>
  <si>
    <t xml:space="preserve">   7/ Total crude supply, net product imports, refinery processing gain, product stock withdrawal, natural gas plant liquids, supply from</t>
  </si>
  <si>
    <t>renewable sources, liquids from gas, liquids from coal, and other supply.</t>
  </si>
  <si>
    <t xml:space="preserve">   8/ Includes ethane, natural gasoline, and refinery olefins.</t>
  </si>
  <si>
    <t xml:space="preserve">   9/ Includes ethanol and ethers blended into gasoline.</t>
  </si>
  <si>
    <t xml:space="preserve">   10/ E85 refers to a blend of 85 percent ethanol (renewable) and 15 percent motor gasoline (nonrenewable).  To address cold starting</t>
  </si>
  <si>
    <t>issues, the percentage of ethanol varies seasonally.  The annual average ethanol content of 74 percent is used for these projections.</t>
  </si>
  <si>
    <t xml:space="preserve">   11/ Includes only kerosene type.</t>
  </si>
  <si>
    <t xml:space="preserve">   12/ Includes distillate fuel oil from petroleum and biomass feedstocks.</t>
  </si>
  <si>
    <t xml:space="preserve">   13/ Includes kerosene, aviation gasoline, petrochemical feedstocks, lubricants, waxes, asphalt, road oil, still gas,</t>
  </si>
  <si>
    <t>special naphthas, petroleum coke, crude oil product supplied, methanol, and miscellaneous petroleum products.</t>
  </si>
  <si>
    <t xml:space="preserve">   14/ Includes energy for combined heat and power plants that have a non-regulatory status, and small on-site generating systems.</t>
  </si>
  <si>
    <t xml:space="preserve">   15/ Includes consumption of energy by electricity-only and combined heat and power plants that have a regulatory status.</t>
  </si>
  <si>
    <t xml:space="preserve">   16/ Represents consumption unattributed to the sectors above.</t>
  </si>
  <si>
    <t xml:space="preserve">   17/ Balancing item. Includes unaccounted for supply, losses, and gains.</t>
  </si>
  <si>
    <t xml:space="preserve">   18/ End-of-year operable capacity.</t>
  </si>
  <si>
    <t xml:space="preserve">   19/ Rate is calculated by dividing the gross annual input to atmospheric crude oil distillation units by their</t>
  </si>
  <si>
    <t>operable refining capacity in barrels per calendar day.</t>
  </si>
  <si>
    <t>are model results and may differ from official EIA data reports.</t>
  </si>
  <si>
    <t>Future Projections (Thousand Barrels/Year)</t>
  </si>
  <si>
    <t xml:space="preserve">     Crude Oil Production</t>
  </si>
  <si>
    <t xml:space="preserve">     Crude Oil Refining</t>
  </si>
  <si>
    <t>CH4 (kt)</t>
  </si>
  <si>
    <t>CO2 (MMT)</t>
  </si>
  <si>
    <t>CH4 (kt) - Production</t>
  </si>
  <si>
    <t>CH4 (kt) - Transportation</t>
  </si>
  <si>
    <t>CH4 (kt) - Refining</t>
  </si>
  <si>
    <t>CO2 (MMt) - Refining</t>
  </si>
  <si>
    <t>CO2 (MMt) - Production</t>
  </si>
  <si>
    <t>Pollutant &amp; Process</t>
  </si>
  <si>
    <t>Metallurgical Coke Production - CO2 (kt)</t>
  </si>
  <si>
    <t>Iron and Steel Production - CO2 (kt)</t>
  </si>
  <si>
    <t>Iron and Steel Production - CH4 (kt)</t>
  </si>
  <si>
    <t>ISM000</t>
  </si>
  <si>
    <t>24. Industrial Sector Macroeconomic Indicators</t>
  </si>
  <si>
    <t xml:space="preserve"> Indicators</t>
  </si>
  <si>
    <t>ISM000:ba_GDP(billionm_</t>
  </si>
  <si>
    <t>Gross Domestic Product (billion 2009 dollars)</t>
  </si>
  <si>
    <t>ISM000:ca_NonfarmEmploy</t>
  </si>
  <si>
    <t>Nonfarm Employment (millions)</t>
  </si>
  <si>
    <t>Nonmanufacturing Sector</t>
  </si>
  <si>
    <t>ISM000:ea_Agricultural</t>
  </si>
  <si>
    <t xml:space="preserve">  Agriculture/Forestry/Fishing/Hunting</t>
  </si>
  <si>
    <t>ISM000:ea_Mining</t>
  </si>
  <si>
    <t xml:space="preserve">  Mining</t>
  </si>
  <si>
    <t>ISM000:ea_Construction</t>
  </si>
  <si>
    <t xml:space="preserve">  Construction</t>
  </si>
  <si>
    <t>Manufacturing Sector</t>
  </si>
  <si>
    <t>ISM000:fa_FoodandKindre</t>
  </si>
  <si>
    <t xml:space="preserve">  Food Products</t>
  </si>
  <si>
    <t>ISM000:fa_BeveragesandT</t>
  </si>
  <si>
    <t xml:space="preserve">  Beverages and Tobacco Products</t>
  </si>
  <si>
    <t>ISM000:fa_TextileMillPr</t>
  </si>
  <si>
    <t xml:space="preserve">  Textile Mills and Products</t>
  </si>
  <si>
    <t>ISM000:fa_LumberandWood</t>
  </si>
  <si>
    <t xml:space="preserve">  Wood Products</t>
  </si>
  <si>
    <t>ISM000:fa_FurnitureandF</t>
  </si>
  <si>
    <t xml:space="preserve">  Furniture and Related Products</t>
  </si>
  <si>
    <t>ISM000:fa_PaperandAllie</t>
  </si>
  <si>
    <t xml:space="preserve">  Paper Products</t>
  </si>
  <si>
    <t>ISM000:fa_PrintingandPu</t>
  </si>
  <si>
    <t xml:space="preserve">  Printing</t>
  </si>
  <si>
    <t>ISM000:fa_ChemicalandAl</t>
  </si>
  <si>
    <t xml:space="preserve">  Chemical Manufacturing</t>
  </si>
  <si>
    <t>ISM000:fa_BulkChemicals</t>
  </si>
  <si>
    <t xml:space="preserve">    Bulk Chemicals</t>
  </si>
  <si>
    <t>ISM000:fa_Inorganic</t>
  </si>
  <si>
    <t xml:space="preserve">      Inorganic</t>
  </si>
  <si>
    <t>ISM000:fa_Organic</t>
  </si>
  <si>
    <t xml:space="preserve">      Organic</t>
  </si>
  <si>
    <t>ISM000:fa_Resins</t>
  </si>
  <si>
    <t xml:space="preserve">      Resin, Synthetic Rubber, and Fibers</t>
  </si>
  <si>
    <t>ISM000:fa_AgriculturalC</t>
  </si>
  <si>
    <t xml:space="preserve">      Agricultural Chemicals</t>
  </si>
  <si>
    <t>ISM000:fa_OtherChemical</t>
  </si>
  <si>
    <t xml:space="preserve">    Other Chemical Products</t>
  </si>
  <si>
    <t>ISM000:fa_PetroleumandC</t>
  </si>
  <si>
    <t xml:space="preserve">  Petroleum and Coal Products</t>
  </si>
  <si>
    <t>ISM000:fa_PetroleumRefi</t>
  </si>
  <si>
    <t xml:space="preserve">    Petroleum Refineries</t>
  </si>
  <si>
    <t>ISM000:fa_OtherPetroleu</t>
  </si>
  <si>
    <t xml:space="preserve">    Other Petroleum and Coal Products</t>
  </si>
  <si>
    <t>ISM000:fa_RubberandMisc</t>
  </si>
  <si>
    <t xml:space="preserve">  Plastics and Rubber Products</t>
  </si>
  <si>
    <t>ISM000:fa_Stone,Clay,an</t>
  </si>
  <si>
    <t xml:space="preserve">  Stone, Clay, and Glass Products</t>
  </si>
  <si>
    <t>ISM000:fa_GlassandGlass</t>
  </si>
  <si>
    <t xml:space="preserve">    Glass and Glass Products</t>
  </si>
  <si>
    <t>ISM000:fa_CementandHydr</t>
  </si>
  <si>
    <t xml:space="preserve">    Cement and Lime</t>
  </si>
  <si>
    <t>ISM000:fa_OtherStone,Cl</t>
  </si>
  <si>
    <t xml:space="preserve">    Other Nonmetallic Mineral Products</t>
  </si>
  <si>
    <t>ISM000:ga_PrimaryMetals</t>
  </si>
  <si>
    <t xml:space="preserve">  Primary Metals Industry</t>
  </si>
  <si>
    <t>ISM000:ga_BlastFurnacea</t>
  </si>
  <si>
    <t xml:space="preserve">    Iron and Steel Mills and Products</t>
  </si>
  <si>
    <t>ISM000:ga_Aluminum</t>
  </si>
  <si>
    <t xml:space="preserve">    Alumina and Aluminum Products</t>
  </si>
  <si>
    <t>ISM000:ga_OtherPrimaryM</t>
  </si>
  <si>
    <t xml:space="preserve">    Other Primary Metal Products</t>
  </si>
  <si>
    <t>ISM000:ga_FabricatedMet</t>
  </si>
  <si>
    <t xml:space="preserve">  Fabricated Metal Products</t>
  </si>
  <si>
    <t>ISM000:ga_IndustrialMac</t>
  </si>
  <si>
    <t xml:space="preserve">  Machinery</t>
  </si>
  <si>
    <t>ISM000:ga_Electronicand</t>
  </si>
  <si>
    <t xml:space="preserve">  Computers and Electronics</t>
  </si>
  <si>
    <t>ISM000:ga_Transportatio</t>
  </si>
  <si>
    <t xml:space="preserve">  Transportation Equipment</t>
  </si>
  <si>
    <t>ISM000:ga_Instrumentsan</t>
  </si>
  <si>
    <t xml:space="preserve">  Electrical Equipment</t>
  </si>
  <si>
    <t>ISM000:ga_Miscellaneous</t>
  </si>
  <si>
    <t xml:space="preserve">  Miscellaneous Manufacturing</t>
  </si>
  <si>
    <t>ISM000:ha_TotalIndustri</t>
  </si>
  <si>
    <t>Total Industrial Value of Shipments</t>
  </si>
  <si>
    <t xml:space="preserve">   Note:  Totals may not equal sum of components due to independent rounding.</t>
  </si>
  <si>
    <t>Projected Emissions</t>
  </si>
  <si>
    <t>Non-Feedstock</t>
  </si>
  <si>
    <t>Historical HCFC-22 Production (kt)</t>
  </si>
  <si>
    <t>Feedstock</t>
  </si>
  <si>
    <t>Emissions Factor</t>
  </si>
  <si>
    <t>kg HFC23/kg HCFC22</t>
  </si>
  <si>
    <t>Production Estimates</t>
  </si>
  <si>
    <t>Emissions Estimates</t>
  </si>
  <si>
    <t>Total (kt)</t>
  </si>
  <si>
    <t>Total (MMT CO2e)</t>
  </si>
  <si>
    <t>Dairy Cattle</t>
  </si>
  <si>
    <t>Beef Cattle</t>
  </si>
  <si>
    <t>Swine</t>
  </si>
  <si>
    <t>Sheep</t>
  </si>
  <si>
    <t>Goats</t>
  </si>
  <si>
    <t>Horses</t>
  </si>
  <si>
    <t>American bison</t>
  </si>
  <si>
    <t>Mules, burros, and donkeys</t>
  </si>
  <si>
    <t>https://www.usda.gov/oce/commodity/projections/USDA_Agricultural_Projections_to_2026.pdf</t>
  </si>
  <si>
    <t>Thousand Head</t>
  </si>
  <si>
    <t>http://usda.mannlib.cornell.edu/MannUsda/viewDocumentInfo.do?documentID=1145</t>
  </si>
  <si>
    <t>2015 emissions data used</t>
  </si>
  <si>
    <t>extrapolation</t>
  </si>
  <si>
    <t>Animal Inventory and Projections</t>
  </si>
  <si>
    <t>Dairy Cows*</t>
  </si>
  <si>
    <t>Beef Cows*</t>
  </si>
  <si>
    <t>Average</t>
  </si>
  <si>
    <t>Dairy Cows</t>
  </si>
  <si>
    <t>Beef Cows</t>
  </si>
  <si>
    <t>Animal</t>
  </si>
  <si>
    <t>Assumed Emissions Factors for Enteric Fermentation (kg CH4/head/year)</t>
  </si>
  <si>
    <t>Historical Emissions from Enteric Fermentation - CH4 (kt)</t>
  </si>
  <si>
    <t>Historical and Projected Emissions Factors for Enteric Fermentation- CH4 (kt/thousand head)</t>
  </si>
  <si>
    <t>Poultry</t>
  </si>
  <si>
    <t>Poultry (million lbs)*</t>
  </si>
  <si>
    <t>Projected Enteric Fermentation Emissions (kt CH4)</t>
  </si>
  <si>
    <t>Historical CH4 Emissions from Manure Management (kt)</t>
  </si>
  <si>
    <t>Historical N2O Emissions from Manure Management (kt)</t>
  </si>
  <si>
    <t>n/a</t>
  </si>
  <si>
    <t>Emissions Factors for CH4 (kt/thousand head or kt/million pounds)</t>
  </si>
  <si>
    <t>Historical Emissions Factors for N2O (kt/thousand head or kt/million pounds)</t>
  </si>
  <si>
    <t>Emissions Factors for CH4 (kt/thousand head)</t>
  </si>
  <si>
    <t>Emissions Factors for N2O (kt/thousand head)</t>
  </si>
  <si>
    <t>Projected Manure Management CH4 Emissions (kt)</t>
  </si>
  <si>
    <t>&lt;-adjusted for data</t>
  </si>
  <si>
    <t>Projected Manure Management N2O Emissions (kt)</t>
  </si>
  <si>
    <t>Projected Harvested Area</t>
  </si>
  <si>
    <t>Million acres</t>
  </si>
  <si>
    <t>1000 Hectares</t>
  </si>
  <si>
    <t>Historical Rice Area Harvested and Emissions</t>
  </si>
  <si>
    <t>CH4 Emissions (kt)</t>
  </si>
  <si>
    <t>Average Emissions Factor</t>
  </si>
  <si>
    <t>CH4 (kt/1000 acres)</t>
  </si>
  <si>
    <r>
      <rPr>
        <b/>
        <sz val="10"/>
        <rFont val="Tahoma"/>
        <family val="2"/>
      </rPr>
      <t>Table 5-17: Direct N</t>
    </r>
    <r>
      <rPr>
        <b/>
        <sz val="7"/>
        <rFont val="Tahoma"/>
        <family val="2"/>
      </rPr>
      <t>2</t>
    </r>
    <r>
      <rPr>
        <b/>
        <sz val="10"/>
        <rFont val="Tahoma"/>
        <family val="2"/>
      </rPr>
      <t>O Emissions from Agricultural Soils by Land Use Type and N Input Type</t>
    </r>
  </si>
  <si>
    <r>
      <rPr>
        <b/>
        <sz val="10"/>
        <rFont val="Tahoma"/>
        <family val="2"/>
      </rPr>
      <t>(MMT CO</t>
    </r>
    <r>
      <rPr>
        <b/>
        <sz val="7"/>
        <rFont val="Tahoma"/>
        <family val="2"/>
      </rPr>
      <t xml:space="preserve">2 </t>
    </r>
    <r>
      <rPr>
        <b/>
        <sz val="10"/>
        <rFont val="Tahoma"/>
        <family val="2"/>
      </rPr>
      <t>Eq.)</t>
    </r>
  </si>
  <si>
    <r>
      <rPr>
        <b/>
        <sz val="9"/>
        <rFont val="Times New Roman"/>
        <family val="1"/>
      </rPr>
      <t>Cropland</t>
    </r>
  </si>
  <si>
    <r>
      <rPr>
        <b/>
        <sz val="9"/>
        <rFont val="Times New Roman"/>
        <family val="1"/>
      </rPr>
      <t>Mineral Soils</t>
    </r>
  </si>
  <si>
    <r>
      <rPr>
        <sz val="9"/>
        <rFont val="Times New Roman"/>
        <family val="1"/>
      </rPr>
      <t>Synthetic Fertilizer</t>
    </r>
  </si>
  <si>
    <r>
      <rPr>
        <sz val="9"/>
        <rFont val="Times New Roman"/>
        <family val="1"/>
      </rPr>
      <t>Organic Amendment</t>
    </r>
    <r>
      <rPr>
        <sz val="6"/>
        <rFont val="Times New Roman"/>
        <family val="1"/>
      </rPr>
      <t>a</t>
    </r>
  </si>
  <si>
    <r>
      <rPr>
        <sz val="9"/>
        <rFont val="Times New Roman"/>
        <family val="1"/>
      </rPr>
      <t>Residue N</t>
    </r>
    <r>
      <rPr>
        <sz val="6"/>
        <rFont val="Times New Roman"/>
        <family val="1"/>
      </rPr>
      <t>b</t>
    </r>
  </si>
  <si>
    <r>
      <rPr>
        <sz val="9"/>
        <rFont val="Times New Roman"/>
        <family val="1"/>
      </rPr>
      <t>Mineralization and Asymbiotic Fixation</t>
    </r>
  </si>
  <si>
    <r>
      <rPr>
        <b/>
        <sz val="9"/>
        <rFont val="Times New Roman"/>
        <family val="1"/>
      </rPr>
      <t>Drained Organic Soils</t>
    </r>
  </si>
  <si>
    <r>
      <rPr>
        <b/>
        <sz val="9"/>
        <rFont val="Times New Roman"/>
        <family val="1"/>
      </rPr>
      <t>Grassland</t>
    </r>
  </si>
  <si>
    <r>
      <rPr>
        <sz val="9"/>
        <rFont val="Times New Roman"/>
        <family val="1"/>
      </rPr>
      <t>PRP Manure</t>
    </r>
  </si>
  <si>
    <r>
      <rPr>
        <sz val="9"/>
        <rFont val="Times New Roman"/>
        <family val="1"/>
      </rPr>
      <t>Managed Manure</t>
    </r>
    <r>
      <rPr>
        <sz val="6"/>
        <rFont val="Times New Roman"/>
        <family val="1"/>
      </rPr>
      <t>c</t>
    </r>
  </si>
  <si>
    <r>
      <rPr>
        <sz val="9"/>
        <rFont val="Times New Roman"/>
        <family val="1"/>
      </rPr>
      <t>Biosolids (i.e., Sewage Sludge)</t>
    </r>
  </si>
  <si>
    <r>
      <rPr>
        <sz val="9"/>
        <rFont val="Times New Roman"/>
        <family val="1"/>
      </rPr>
      <t>Residue N</t>
    </r>
    <r>
      <rPr>
        <sz val="6"/>
        <rFont val="Times New Roman"/>
        <family val="1"/>
      </rPr>
      <t>d</t>
    </r>
  </si>
  <si>
    <r>
      <rPr>
        <sz val="6"/>
        <rFont val="Times New Roman"/>
        <family val="1"/>
      </rPr>
      <t xml:space="preserve">a </t>
    </r>
    <r>
      <rPr>
        <sz val="9"/>
        <rFont val="Times New Roman"/>
        <family val="1"/>
      </rPr>
      <t>Organic amendment inputs include managed manure, daily spread manure, and commercial organic fertilizers (i.e., dried blood, dried manure, tankage, compost, and other).</t>
    </r>
  </si>
  <si>
    <r>
      <rPr>
        <b/>
        <sz val="10"/>
        <rFont val="Tahoma"/>
        <family val="2"/>
      </rPr>
      <t>Table 5-18: Indirect N</t>
    </r>
    <r>
      <rPr>
        <b/>
        <sz val="7"/>
        <rFont val="Tahoma"/>
        <family val="2"/>
      </rPr>
      <t>2</t>
    </r>
    <r>
      <rPr>
        <b/>
        <sz val="10"/>
        <rFont val="Tahoma"/>
        <family val="2"/>
      </rPr>
      <t>O Emissions from Agricultural Soils (MMT CO</t>
    </r>
    <r>
      <rPr>
        <b/>
        <sz val="7"/>
        <rFont val="Tahoma"/>
        <family val="2"/>
      </rPr>
      <t xml:space="preserve">2 </t>
    </r>
    <r>
      <rPr>
        <b/>
        <sz val="10"/>
        <rFont val="Tahoma"/>
        <family val="2"/>
      </rPr>
      <t>Eq.)</t>
    </r>
  </si>
  <si>
    <r>
      <rPr>
        <sz val="9"/>
        <rFont val="Times New Roman"/>
        <family val="1"/>
      </rPr>
      <t>Volatilization &amp; Atm. Deposition</t>
    </r>
  </si>
  <si>
    <r>
      <rPr>
        <sz val="9"/>
        <rFont val="Times New Roman"/>
        <family val="1"/>
      </rPr>
      <t>Surface Leaching &amp; Run-Off</t>
    </r>
  </si>
  <si>
    <r>
      <rPr>
        <sz val="9"/>
        <rFont val="Times New Roman"/>
        <family val="1"/>
      </rPr>
      <t xml:space="preserve">Volatilization &amp; Atm.
</t>
    </r>
    <r>
      <rPr>
        <sz val="9"/>
        <rFont val="Times New Roman"/>
        <family val="1"/>
      </rPr>
      <t>Deposition</t>
    </r>
  </si>
  <si>
    <r>
      <rPr>
        <sz val="9"/>
        <rFont val="Times New Roman"/>
        <family val="1"/>
      </rPr>
      <t>Note: Totals may not sum due to independent rounding.</t>
    </r>
  </si>
  <si>
    <t>EPA GHG Grouping</t>
  </si>
  <si>
    <t>Fertilizer Use</t>
  </si>
  <si>
    <t>Livestock Production</t>
  </si>
  <si>
    <t>Crop Production</t>
  </si>
  <si>
    <t>None; held constant</t>
  </si>
  <si>
    <t>Scaled to Direct Emissions Value</t>
  </si>
  <si>
    <t>Historic Emissions</t>
  </si>
  <si>
    <t>Tier 3 Crops</t>
  </si>
  <si>
    <t>Historic Synthetic Fertilizer Use (kt N)</t>
  </si>
  <si>
    <t>Tier 1 Crops</t>
  </si>
  <si>
    <t>Total (**projections held constant)</t>
  </si>
  <si>
    <t>HFC-23</t>
  </si>
  <si>
    <t>MEI000</t>
  </si>
  <si>
    <t>20. Macroeconomic Indicators</t>
  </si>
  <si>
    <t>(billion 2009 chain-weighted dollars, unless otherwise noted)</t>
  </si>
  <si>
    <t>MEI000:ba_RealGrossDome</t>
  </si>
  <si>
    <t>Real Gross Domestic Product</t>
  </si>
  <si>
    <t>Components of Real Gross Domestic Product</t>
  </si>
  <si>
    <t>MEI000:ba_RealConsumpti</t>
  </si>
  <si>
    <t xml:space="preserve">  Real Consumption</t>
  </si>
  <si>
    <t>MEI000:ba_RealInvestmen</t>
  </si>
  <si>
    <t>MEI000:ba_RealGovernmen</t>
  </si>
  <si>
    <t xml:space="preserve">  Real Government Spending</t>
  </si>
  <si>
    <t>MEI000:ba_RealExports</t>
  </si>
  <si>
    <t xml:space="preserve">  Real Exports</t>
  </si>
  <si>
    <t>MEI000:ba_RealImports</t>
  </si>
  <si>
    <t xml:space="preserve">  Real Imports</t>
  </si>
  <si>
    <t>Energy Intensity</t>
  </si>
  <si>
    <t xml:space="preserve"> (thousand Btu per 2009 dollar of GDP)</t>
  </si>
  <si>
    <t>MEI000:ca_DeliveredEner</t>
  </si>
  <si>
    <t xml:space="preserve">  Delivered Energy</t>
  </si>
  <si>
    <t>MEI000:ca_TotalEnergy</t>
  </si>
  <si>
    <t xml:space="preserve">  Total Energy</t>
  </si>
  <si>
    <t>Price Indices</t>
  </si>
  <si>
    <t>MEI000:da_GDPChain-Type</t>
  </si>
  <si>
    <t xml:space="preserve">  GDP Chain-type Price Index (2009=1.000)</t>
  </si>
  <si>
    <t xml:space="preserve">  Consumer Price Index (1982-84=1.00)</t>
  </si>
  <si>
    <t>MEI000:da_ConsumerPrice</t>
  </si>
  <si>
    <t xml:space="preserve">    All-urban</t>
  </si>
  <si>
    <t>MEI000:da_ConEnCom&amp;Serv</t>
  </si>
  <si>
    <t xml:space="preserve">    Energy Commodities and Services</t>
  </si>
  <si>
    <t xml:space="preserve">  Wholesale Price Index (1982=1.00)</t>
  </si>
  <si>
    <t>MEI000:da_AllCommoditie</t>
  </si>
  <si>
    <t xml:space="preserve">    All Commodities</t>
  </si>
  <si>
    <t>MEI000:da_FuelandPower</t>
  </si>
  <si>
    <t xml:space="preserve">    Fuel and Power</t>
  </si>
  <si>
    <t>MEI000:da_MetalProduct</t>
  </si>
  <si>
    <t xml:space="preserve">    Metals and Metal Products</t>
  </si>
  <si>
    <t>MEI000:da_IndComExEnrgy</t>
  </si>
  <si>
    <t xml:space="preserve">    Industrial Commodities excluding Energy</t>
  </si>
  <si>
    <t>Interest Rates (percent, nominal)</t>
  </si>
  <si>
    <t>MEI000:ea_FederalFundsR</t>
  </si>
  <si>
    <t xml:space="preserve">  Federal Funds Rate</t>
  </si>
  <si>
    <t>MEI000:ea_10-YearTreasu</t>
  </si>
  <si>
    <t xml:space="preserve">  10-Year Treasury Note</t>
  </si>
  <si>
    <t>MEI000:ea_AAUtilityBond</t>
  </si>
  <si>
    <t xml:space="preserve">  AA Utility Bond Rate</t>
  </si>
  <si>
    <t>MEI000:ja_ServiceSector</t>
  </si>
  <si>
    <t xml:space="preserve">  Non-Industrial and Service Sectors</t>
  </si>
  <si>
    <t>MEI000:ja_TotalIndustri</t>
  </si>
  <si>
    <t xml:space="preserve">  Total Industrial</t>
  </si>
  <si>
    <t>MEI000:ja_Non-Manufactu</t>
  </si>
  <si>
    <t xml:space="preserve">    Agriculture, Mining, and Construction</t>
  </si>
  <si>
    <t>MEI000:ja_Manufacturing</t>
  </si>
  <si>
    <t xml:space="preserve">    Manufacturing</t>
  </si>
  <si>
    <t>MEI000:ja_EnergyIntensi</t>
  </si>
  <si>
    <t xml:space="preserve">      Energy-Intensive</t>
  </si>
  <si>
    <t>MEI000:ja_Non-EnergyInt</t>
  </si>
  <si>
    <t xml:space="preserve">      Non-Energy-Intensive</t>
  </si>
  <si>
    <t>MEI000:ja_TotalRevenue</t>
  </si>
  <si>
    <t>Total Shipments</t>
  </si>
  <si>
    <t>Population and Employment (millions)</t>
  </si>
  <si>
    <t>MEI000:ka_Populationwit</t>
  </si>
  <si>
    <t xml:space="preserve">  Population, with Armed Forces Overseas</t>
  </si>
  <si>
    <t>MEI000:ka_Populationage</t>
  </si>
  <si>
    <t xml:space="preserve">  Population, aged 16 and over</t>
  </si>
  <si>
    <t>MEI000:ka_Populationold</t>
  </si>
  <si>
    <t xml:space="preserve">  Population, aged 65 and over</t>
  </si>
  <si>
    <t>MEI000:ka_Employment,No</t>
  </si>
  <si>
    <t xml:space="preserve">  Employment, Nonfarm</t>
  </si>
  <si>
    <t>MEI000:ka_Employment,Ma</t>
  </si>
  <si>
    <t xml:space="preserve">  Employment, Manufacturing</t>
  </si>
  <si>
    <t>Key Labor Indicators</t>
  </si>
  <si>
    <t>MEI000:ka_LaborForce</t>
  </si>
  <si>
    <t xml:space="preserve">  Labor Force (millions)</t>
  </si>
  <si>
    <t>MEI000:ka_NonFarmLabPrd</t>
  </si>
  <si>
    <t xml:space="preserve">  Nonfarm Labor Productivity (2009=1.00)</t>
  </si>
  <si>
    <t>MEI000:fa_UnemploymentR</t>
  </si>
  <si>
    <t xml:space="preserve">  Unemployment Rate (percent)</t>
  </si>
  <si>
    <t>Key Indicators for Energy Demand</t>
  </si>
  <si>
    <t>MEI000:ba_RealDisposabl</t>
  </si>
  <si>
    <t xml:space="preserve">  Real Disposable Personal Income</t>
  </si>
  <si>
    <t>MEI000:ga_HousingStarts</t>
  </si>
  <si>
    <t xml:space="preserve">  Housing Starts (millions)</t>
  </si>
  <si>
    <t>MEI000:ha_(billionsquar</t>
  </si>
  <si>
    <t xml:space="preserve">  Commercial Floorspace (billion square feet)</t>
  </si>
  <si>
    <t>MEI000:ia_UnitSalesofLi</t>
  </si>
  <si>
    <t xml:space="preserve">  Unit Sales of Light-Duty Vehicles (millions)</t>
  </si>
  <si>
    <t xml:space="preserve">   GDP = Gross domestic product.</t>
  </si>
  <si>
    <t>Global Warming Potentials</t>
  </si>
  <si>
    <t>Corn</t>
  </si>
  <si>
    <t>Sorghum</t>
  </si>
  <si>
    <t>Barley</t>
  </si>
  <si>
    <t>Oats</t>
  </si>
  <si>
    <t>Wheat</t>
  </si>
  <si>
    <t>Rice</t>
  </si>
  <si>
    <t>Upland cotton</t>
  </si>
  <si>
    <t>Soybeans</t>
  </si>
  <si>
    <t>Sugarbeets</t>
  </si>
  <si>
    <t>Sugarcane</t>
  </si>
  <si>
    <t>Million Acres</t>
  </si>
  <si>
    <t>Dry Matter Fraction</t>
  </si>
  <si>
    <t>Projected Emissions from Synthetic Fertilizer Use (kt N2O)</t>
  </si>
  <si>
    <t>Nitrogen from Crop Residues</t>
  </si>
  <si>
    <t>&lt;- assumed 0.89</t>
  </si>
  <si>
    <t>N Content of Above Ground Dry Matter Resdiues to Harvested Crop</t>
  </si>
  <si>
    <t>&lt;- assumed 0.007</t>
  </si>
  <si>
    <t>Ratio of Below-Ground Dry Matter Residues to Harvested Yield</t>
  </si>
  <si>
    <t>&lt;- assumed 0.2</t>
  </si>
  <si>
    <t>N Content of Below Ground Residue</t>
  </si>
  <si>
    <t>&lt;0- assumed 0.01</t>
  </si>
  <si>
    <t>Estimated Nitrogen Crop Residues</t>
  </si>
  <si>
    <t>Estimated Emissions</t>
  </si>
  <si>
    <t>kt N2O</t>
  </si>
  <si>
    <t>Nitrogen Excretion Rate (kg N/1000 kg animal mass/day)</t>
  </si>
  <si>
    <t>Average Weight (kg)</t>
  </si>
  <si>
    <t>Nitrogen (kt N)</t>
  </si>
  <si>
    <t>Estimated Nitrogen Deposition</t>
  </si>
  <si>
    <t>N2O (kt)</t>
  </si>
  <si>
    <t>http://www.ipcc-nggip.iges.or.jp/public/2006gl/pdf/4_Volume4/V4_10_Ch10_Livestock.pdf</t>
  </si>
  <si>
    <t>Total Emissions</t>
  </si>
  <si>
    <t>"None"</t>
  </si>
  <si>
    <t>Indirect Emissions</t>
  </si>
  <si>
    <t>Total (kt N2O)</t>
  </si>
  <si>
    <t>n/a (covered in model)</t>
  </si>
  <si>
    <t>Non-Energy Use of Fossil Fuels (CO2)</t>
  </si>
  <si>
    <t>Coal Mining (CH4)</t>
  </si>
  <si>
    <t>Natural Gas System (CH4 and CO2)</t>
  </si>
  <si>
    <t>Petroleum Systems (CH4 and CO2)</t>
  </si>
  <si>
    <t>Cement Production (CO2)</t>
  </si>
  <si>
    <t>Adipic Acid Production (N2O)</t>
  </si>
  <si>
    <t>Iron and Steel Production and Metallurgical Coke Production (CO2 and CH4)</t>
  </si>
  <si>
    <t>Aluminum Production (CO2 and PFCs)</t>
  </si>
  <si>
    <t>Historical Primary Production</t>
  </si>
  <si>
    <t>kt Aluminum</t>
  </si>
  <si>
    <t>Historical Emissions</t>
  </si>
  <si>
    <t>PFCs (MMT CO2e)</t>
  </si>
  <si>
    <t>Historical Emissions Factors</t>
  </si>
  <si>
    <t>CO2 (MMT/kt production)</t>
  </si>
  <si>
    <t>PFCs (MMT CO2e/kt production)</t>
  </si>
  <si>
    <t>2020 Emissions Target</t>
  </si>
  <si>
    <t>CO2 (MMT CO2e)</t>
  </si>
  <si>
    <t>F-Gases (MMT CO2e)</t>
  </si>
  <si>
    <t>Historical and Projected Emissions</t>
  </si>
  <si>
    <t>Annual Manufacturing Growth Rate</t>
  </si>
  <si>
    <t>F gases (MMT CO2e)</t>
  </si>
  <si>
    <t>Percent Improvement in Emissions Intensity for New Facilities</t>
  </si>
  <si>
    <t>&lt;assumption due to limited data availability</t>
  </si>
  <si>
    <t>https://www.epa.gov/sites/production/files/2017-02/documents/2017_annex_3-_part_b.pdf</t>
  </si>
  <si>
    <t>MSW Landfills</t>
  </si>
  <si>
    <t>Industrial Landfills</t>
  </si>
  <si>
    <t>Industrial CH4 Oxidized</t>
  </si>
  <si>
    <t>CH4 from MSW Landfills (kt)</t>
  </si>
  <si>
    <t>kt CH4</t>
  </si>
  <si>
    <t>CH4 from Industiral Landfills (kt)</t>
  </si>
  <si>
    <t>Total (kt CH4)</t>
  </si>
  <si>
    <t>Population Projection</t>
  </si>
  <si>
    <t>Persons</t>
  </si>
  <si>
    <t>On-site Treatment</t>
  </si>
  <si>
    <t>Inputs</t>
  </si>
  <si>
    <t>Emissions Factor (g CH4/capita/day)</t>
  </si>
  <si>
    <t>Population</t>
  </si>
  <si>
    <t>Population (million)</t>
  </si>
  <si>
    <t>On-site Septic Systems (CH4)</t>
  </si>
  <si>
    <t>Centrally Treated Aerobic and Anaerobic Systems (CH4)</t>
  </si>
  <si>
    <t>Anaerobic Digesters (CH4)</t>
  </si>
  <si>
    <t>Effluent Discharge (N2O)</t>
  </si>
  <si>
    <t>Historical Data</t>
  </si>
  <si>
    <t>Population (ND)</t>
  </si>
  <si>
    <t>WWTP Population</t>
  </si>
  <si>
    <t>Available Protein</t>
  </si>
  <si>
    <t>Proteint Consumed</t>
  </si>
  <si>
    <t>N Removed</t>
  </si>
  <si>
    <t>Projections</t>
  </si>
  <si>
    <t>Percent of US pop using central treament plants</t>
  </si>
  <si>
    <t>Per capita protein consumption</t>
  </si>
  <si>
    <t>Fraction of N in protein</t>
  </si>
  <si>
    <t>Factor for non-consumed protein added to wastewater</t>
  </si>
  <si>
    <t>Factor for industrial and commercial co-discharged protein into sewer system</t>
  </si>
  <si>
    <t>Population served by biological denitrificaiton</t>
  </si>
  <si>
    <t>Emissions factor for effluent</t>
  </si>
  <si>
    <t>Central Treatment Systems/Plants</t>
  </si>
  <si>
    <t>Amount of N removed with sludge</t>
  </si>
  <si>
    <t>Emissions factor for plant with biological denitrification</t>
  </si>
  <si>
    <t>Emissions factor for plant without biological denitrification</t>
  </si>
  <si>
    <t>All values are given in Tg CO2e (equivalent to million metric tons).</t>
  </si>
  <si>
    <t>Cement and other carbonates</t>
  </si>
  <si>
    <t>Cement and other carbonates, process CO2</t>
  </si>
  <si>
    <t>Natural gas and petroleum systems</t>
  </si>
  <si>
    <t>Natural gas and petroleum systems, CH4</t>
  </si>
  <si>
    <t>Natural gas and petroleum systems, process CO2</t>
  </si>
  <si>
    <t>Iron and steel</t>
  </si>
  <si>
    <t>Iron and steel, process CO2</t>
  </si>
  <si>
    <t>Chemicals, N2O</t>
  </si>
  <si>
    <t>Chemicals, F-gases</t>
  </si>
  <si>
    <t>Chemicals, process CO2</t>
  </si>
  <si>
    <t>High GWP emissions from the production of HCFC-22</t>
  </si>
  <si>
    <t>High GWP emissions from ODS substitutes</t>
  </si>
  <si>
    <t>Coal mining</t>
  </si>
  <si>
    <t>Coal mining, CH4</t>
  </si>
  <si>
    <t>Waste management, N2O</t>
  </si>
  <si>
    <t>Waste management, CH4</t>
  </si>
  <si>
    <t>N2O emissions from human sewage - domestic wastewater</t>
  </si>
  <si>
    <t>Agriculture, N2O</t>
  </si>
  <si>
    <t>Agriculture, CH4</t>
  </si>
  <si>
    <t>N2O emissions from manure management</t>
  </si>
  <si>
    <t>CH4 emissions from rice cultivation</t>
  </si>
  <si>
    <t>CH4 emissions from enteric fermentation</t>
  </si>
  <si>
    <t>CH4 emissions from manure management</t>
  </si>
  <si>
    <t>Other industries</t>
  </si>
  <si>
    <t>Other industries, F-gases</t>
  </si>
  <si>
    <t>Other industries, process CO2</t>
  </si>
  <si>
    <t>High GWP emissions from the manufacture of semiconductors</t>
  </si>
  <si>
    <t>High GWP emissions from aluminum</t>
  </si>
  <si>
    <t>High GWP emissions from magnesium manufacturing</t>
  </si>
  <si>
    <t>High GWP emissions from electric power systems</t>
  </si>
  <si>
    <t>Cement and other carbonates (g CO2e)</t>
  </si>
  <si>
    <t>Natural gas and petroleum systems (g CO2e)</t>
  </si>
  <si>
    <t>Iron and steel (g CO2e)</t>
  </si>
  <si>
    <t>Chemicals (g CO2e)</t>
  </si>
  <si>
    <t>Mining (g CO2e)</t>
  </si>
  <si>
    <t>Waste management (g CO2e)</t>
  </si>
  <si>
    <t>Agriculture (g CO2e)</t>
  </si>
  <si>
    <t>Other industries (g CO2e)</t>
  </si>
  <si>
    <t>CH4 emissions from petroleum systems</t>
  </si>
  <si>
    <t>CH4 emissions from natural gas systems</t>
  </si>
  <si>
    <t xml:space="preserve">   CO2 from petroleum sysems</t>
  </si>
  <si>
    <t>CO2</t>
  </si>
  <si>
    <t>VOC</t>
  </si>
  <si>
    <t>CO</t>
  </si>
  <si>
    <t>NOx</t>
  </si>
  <si>
    <t>PM10</t>
  </si>
  <si>
    <t>PM25</t>
  </si>
  <si>
    <t>SOx</t>
  </si>
  <si>
    <t>BC</t>
  </si>
  <si>
    <t>OC</t>
  </si>
  <si>
    <t>CH4</t>
  </si>
  <si>
    <t>N2O</t>
  </si>
  <si>
    <t>F gases</t>
  </si>
  <si>
    <t>Pollutant</t>
  </si>
  <si>
    <t>Iron and steel, CH4</t>
  </si>
  <si>
    <t>N2O emissions from fertilizer use</t>
  </si>
  <si>
    <t>N2O emissions from crop residues</t>
  </si>
  <si>
    <t>N2O emissions from livestock production</t>
  </si>
  <si>
    <t>N2O emissions form other soil management</t>
  </si>
  <si>
    <t>N2O emissions from the manufacture of semiconductors</t>
  </si>
  <si>
    <t>CO2 emissions from aluminum</t>
  </si>
  <si>
    <t>CO2 emissions from magnesium manufacturing</t>
  </si>
  <si>
    <t>CH4 emissions from on-site septic systems</t>
  </si>
  <si>
    <t>CH4 emissions from centrally treated aerobic and anaerobic systems</t>
  </si>
  <si>
    <t>CH4 emissions from anaerobic digesters</t>
  </si>
  <si>
    <t>N2O emissions from effluent discharge</t>
  </si>
  <si>
    <t>Other industries, N2O</t>
  </si>
  <si>
    <t>Methodology</t>
  </si>
  <si>
    <t>Historical Clinker Inventory</t>
  </si>
  <si>
    <t>US Geological Survey</t>
  </si>
  <si>
    <t>Mineral Commodity Summaries: Cement</t>
  </si>
  <si>
    <t>2015 clinker inventory (thousand metric tons)</t>
  </si>
  <si>
    <t>https://minerals.usgs.gov/minerals/pubs/commodity/cement/mcs-2017-cemen.pdf</t>
  </si>
  <si>
    <t>Projected Value of Shipments</t>
  </si>
  <si>
    <t>Multi Sector Data</t>
  </si>
  <si>
    <t>US Environmental Protection Agency</t>
  </si>
  <si>
    <t>Inventory of U.S. Greenhouse Gas Emissions and Sinks: 1990-2015</t>
  </si>
  <si>
    <t>US Energy Information Administration</t>
  </si>
  <si>
    <t>https://www.eia.gov/outlooks/archive/aeo16/supplement/excel/suptab_23.xlsx</t>
  </si>
  <si>
    <t>Methodologies for U.S. Greenhouse Gas Emissions Projections: Non-CO2 and Non-Energy CO2 Sources</t>
  </si>
  <si>
    <t>Page 44, Equation 15</t>
  </si>
  <si>
    <t>Source for Methodology</t>
  </si>
  <si>
    <t>EPA (2013) equations 13 and 15</t>
  </si>
  <si>
    <t>CEU000</t>
  </si>
  <si>
    <t>19. Energy-Related Carbon Dioxide Emissions by End Use</t>
  </si>
  <si>
    <t>(million metric tons carbon dioxide, unless otherwise noted)</t>
  </si>
  <si>
    <t xml:space="preserve"> Sector and End Use</t>
  </si>
  <si>
    <t>Residential</t>
  </si>
  <si>
    <t>CEU000:ra_SpaceHeating</t>
  </si>
  <si>
    <t xml:space="preserve">  Space Heating</t>
  </si>
  <si>
    <t>CEU000:ra_SpaceCooling</t>
  </si>
  <si>
    <t xml:space="preserve">  Space Cooling</t>
  </si>
  <si>
    <t>CEU000:ra_WaterHeating</t>
  </si>
  <si>
    <t xml:space="preserve">  Water Heating</t>
  </si>
  <si>
    <t>CEU000:ra_Refrigeration</t>
  </si>
  <si>
    <t xml:space="preserve">  Refrigeration</t>
  </si>
  <si>
    <t>CEU000:ra_Cooking</t>
  </si>
  <si>
    <t xml:space="preserve">  Cooking</t>
  </si>
  <si>
    <t>CEU000:ra_ClothesDryers</t>
  </si>
  <si>
    <t xml:space="preserve">  Clothes Dryers</t>
  </si>
  <si>
    <t>CEU000:ra_Freezers</t>
  </si>
  <si>
    <t xml:space="preserve">  Freezers</t>
  </si>
  <si>
    <t>CEU000:ra_Lighting</t>
  </si>
  <si>
    <t xml:space="preserve">  Lighting</t>
  </si>
  <si>
    <t>CEU000:ra_ClothesWasher</t>
  </si>
  <si>
    <t xml:space="preserve">  Clothes Washers 1/</t>
  </si>
  <si>
    <t>CEU000:ra_Dishwashers</t>
  </si>
  <si>
    <t xml:space="preserve">  Dishwashers 1/</t>
  </si>
  <si>
    <t>CEU000:ra_ColorTelevisi</t>
  </si>
  <si>
    <t xml:space="preserve">  Televisions and Related Equipment 2/</t>
  </si>
  <si>
    <t>CEU000:ra_PersonalCompu</t>
  </si>
  <si>
    <t xml:space="preserve">  Computers and Related Equipment 3/</t>
  </si>
  <si>
    <t>CEU000:ra_FurnaceFans</t>
  </si>
  <si>
    <t xml:space="preserve">  Furnace Fans and Boiler Circulation Pumps</t>
  </si>
  <si>
    <t>CEU000:ra_OtherUses</t>
  </si>
  <si>
    <t xml:space="preserve">  Other Uses 4/</t>
  </si>
  <si>
    <t>CEU000:ra_Discrepancy</t>
  </si>
  <si>
    <t xml:space="preserve">  Discrepancy 5/</t>
  </si>
  <si>
    <t>CEU000:ra_Total</t>
  </si>
  <si>
    <t xml:space="preserve">    Total Residential</t>
  </si>
  <si>
    <t>CEU000:ca_SpaceHeating</t>
  </si>
  <si>
    <t xml:space="preserve">  Space Heating 6/</t>
  </si>
  <si>
    <t>CEU000:ca_SpaceCooling</t>
  </si>
  <si>
    <t xml:space="preserve">  Space Cooling 6/</t>
  </si>
  <si>
    <t>CEU000:ca_WaterHeating</t>
  </si>
  <si>
    <t xml:space="preserve">  Water Heating 6/</t>
  </si>
  <si>
    <t>CEU000:ca_Ventilation</t>
  </si>
  <si>
    <t xml:space="preserve">  Ventilation</t>
  </si>
  <si>
    <t>CEU000:ca_Cooking</t>
  </si>
  <si>
    <t>CEU000:ca_Lighting</t>
  </si>
  <si>
    <t>CEU000:ca_Refrigeration</t>
  </si>
  <si>
    <t>CEU000:ca_PCOfficeEquip</t>
  </si>
  <si>
    <t>CEU000:ca_NonPCOfficeEq</t>
  </si>
  <si>
    <t>CEU000:ca_OtherUses</t>
  </si>
  <si>
    <t xml:space="preserve">  Other Uses 7/</t>
  </si>
  <si>
    <t>CEU000:ca_Total</t>
  </si>
  <si>
    <t xml:space="preserve">    Total Commercial</t>
  </si>
  <si>
    <t>Industrial 8/</t>
  </si>
  <si>
    <t xml:space="preserve">  Manufacturing</t>
  </si>
  <si>
    <t>CEU000:ia_Refine</t>
  </si>
  <si>
    <t xml:space="preserve">    Refining</t>
  </si>
  <si>
    <t>CEU000:ia_Food</t>
  </si>
  <si>
    <t xml:space="preserve">    Food Products</t>
  </si>
  <si>
    <t>CEU000:ia_Paper</t>
  </si>
  <si>
    <t xml:space="preserve">    Paper Products</t>
  </si>
  <si>
    <t>CEU000:ia_Chem</t>
  </si>
  <si>
    <t>CEU000:ia_Glass</t>
  </si>
  <si>
    <t xml:space="preserve">    Glass</t>
  </si>
  <si>
    <t>CEU000:ia_Cement</t>
  </si>
  <si>
    <t>CEU000:ia_Steel</t>
  </si>
  <si>
    <t xml:space="preserve">    Iron and Steel</t>
  </si>
  <si>
    <t>CEU000:ia_Aluminum</t>
  </si>
  <si>
    <t xml:space="preserve">    Aluminum</t>
  </si>
  <si>
    <t>CEU000:ia_fabmetal</t>
  </si>
  <si>
    <t xml:space="preserve">    Fabricated Metal Products</t>
  </si>
  <si>
    <t>CEU000:ia_machine</t>
  </si>
  <si>
    <t xml:space="preserve">    Machinery</t>
  </si>
  <si>
    <t>CEU000:ia_compute</t>
  </si>
  <si>
    <t xml:space="preserve">    Computers and Electronics</t>
  </si>
  <si>
    <t>CEU000:ia_transport</t>
  </si>
  <si>
    <t xml:space="preserve">    Transportation Equipment</t>
  </si>
  <si>
    <t>CEU000:ia_elecequip</t>
  </si>
  <si>
    <t xml:space="preserve">    Electrical Equipment</t>
  </si>
  <si>
    <t>CEU000:ia_woodprod</t>
  </si>
  <si>
    <t xml:space="preserve">    Wood Products</t>
  </si>
  <si>
    <t>CEU000:ia_plastic</t>
  </si>
  <si>
    <t xml:space="preserve">    Plastics</t>
  </si>
  <si>
    <t>CEU000:ia_BOMoth</t>
  </si>
  <si>
    <t xml:space="preserve">    Balance of Manufacturing</t>
  </si>
  <si>
    <t>CEU000:ia_TotalMan</t>
  </si>
  <si>
    <t xml:space="preserve">      Total Manufacturing</t>
  </si>
  <si>
    <t xml:space="preserve">  Nonmanufacturing</t>
  </si>
  <si>
    <t>CEU000:ia_Agriculture</t>
  </si>
  <si>
    <t xml:space="preserve">    Agriculture</t>
  </si>
  <si>
    <t>CEU000:ia_Construct</t>
  </si>
  <si>
    <t xml:space="preserve">    Construction</t>
  </si>
  <si>
    <t>CEU000:ia_Mining</t>
  </si>
  <si>
    <t xml:space="preserve">    Mining</t>
  </si>
  <si>
    <t>CEU000:ia_TotalNonMan</t>
  </si>
  <si>
    <t xml:space="preserve">      Total Nonmanufacturing</t>
  </si>
  <si>
    <t>CEU000:ia_NonClass</t>
  </si>
  <si>
    <t>CEU000:ia_Total</t>
  </si>
  <si>
    <t xml:space="preserve">    Total Industrial</t>
  </si>
  <si>
    <t>CEU000:ta_Light-DutyVeh</t>
  </si>
  <si>
    <t xml:space="preserve">  Light-Duty Vehicles</t>
  </si>
  <si>
    <t>CEU000:ta_CommercialLig</t>
  </si>
  <si>
    <t xml:space="preserve">  Commercial Light Trucks 9/</t>
  </si>
  <si>
    <t>CEU000:ta_BusTransporta</t>
  </si>
  <si>
    <t xml:space="preserve">  Bus Transportation</t>
  </si>
  <si>
    <t>CEU000:ta_FreightTrucks</t>
  </si>
  <si>
    <t xml:space="preserve">  Freight Trucks</t>
  </si>
  <si>
    <t>CEU000:ta_Rail,Passenge</t>
  </si>
  <si>
    <t xml:space="preserve">  Rail, Passenger</t>
  </si>
  <si>
    <t>CEU000:ta_Rail,Freight</t>
  </si>
  <si>
    <t xml:space="preserve">  Rail, Freight</t>
  </si>
  <si>
    <t>CEU000:ta_Shipping,Dome</t>
  </si>
  <si>
    <t xml:space="preserve">  Shipping, Domestic</t>
  </si>
  <si>
    <t>CEU000:ta_Shipping,Inte</t>
  </si>
  <si>
    <t xml:space="preserve">  Shipping, International</t>
  </si>
  <si>
    <t>CEU000:ta_RecreationalB</t>
  </si>
  <si>
    <t xml:space="preserve">  Recreational Boats</t>
  </si>
  <si>
    <t>CEU000:ta_Air</t>
  </si>
  <si>
    <t xml:space="preserve">  Air</t>
  </si>
  <si>
    <t>CEU000:ta_MilitaryUse</t>
  </si>
  <si>
    <t xml:space="preserve">  Military Use</t>
  </si>
  <si>
    <t>CEU000:ta_Lubricants</t>
  </si>
  <si>
    <t xml:space="preserve">  Lubricants</t>
  </si>
  <si>
    <t>CEU000:ta_PipelineFuel</t>
  </si>
  <si>
    <t>CEU000:ta_Discrepancy</t>
  </si>
  <si>
    <t>CEU000:ta_Total</t>
  </si>
  <si>
    <t xml:space="preserve">    Total Transportation</t>
  </si>
  <si>
    <t>Biogenic Energy Combustion 10/</t>
  </si>
  <si>
    <t>CEU000:Bioco2_biomass</t>
  </si>
  <si>
    <t xml:space="preserve">  Biomass</t>
  </si>
  <si>
    <t>CEU000:Bioco2_bm_elpow</t>
  </si>
  <si>
    <t xml:space="preserve">    Electric Power Sector</t>
  </si>
  <si>
    <t>CEU000:Bioco2_bm_other</t>
  </si>
  <si>
    <t xml:space="preserve">    Other Sectors</t>
  </si>
  <si>
    <t>CEU000:Bioco2_waste</t>
  </si>
  <si>
    <t xml:space="preserve">  Biogenic Waste</t>
  </si>
  <si>
    <t>CEU000:Bioco2_heat_cop</t>
  </si>
  <si>
    <t xml:space="preserve">  Biofuels Heat and Coproducts</t>
  </si>
  <si>
    <t>CEU000:Bioco2_ethanol</t>
  </si>
  <si>
    <t xml:space="preserve">  Ethanol</t>
  </si>
  <si>
    <t>CEU000:Bioco2_biodiesel</t>
  </si>
  <si>
    <t xml:space="preserve">  Biodiesel</t>
  </si>
  <si>
    <t>CEU000:Bioco2_btl</t>
  </si>
  <si>
    <t xml:space="preserve">  Liquids from Biomass</t>
  </si>
  <si>
    <t>CEU000:Bioco2_greenliq</t>
  </si>
  <si>
    <t xml:space="preserve">  Renewable Diesel and Gasoline</t>
  </si>
  <si>
    <t>CEU000:Bioco2_total</t>
  </si>
  <si>
    <t xml:space="preserve">    Total</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</si>
  <si>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</si>
  <si>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</si>
  <si>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</si>
  <si>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generators, and motors not listed above.  Electric vehicles are included in the transportation sector.</t>
  </si>
  <si>
    <t xml:space="preserve">   5/ Represents differences between total emissions by end-use and total emissions by fuel as</t>
  </si>
  <si>
    <t>reported in Table 18.  Emissions by fuel may reflect benchmarking and other modeling</t>
  </si>
  <si>
    <t>adjustments to energy use and the associated emissions that are not assigned to specific end uses.</t>
  </si>
  <si>
    <t xml:space="preserve">   6/ Includes emissions related to fuel consumption for district services.</t>
  </si>
  <si>
    <t xml:space="preserve">   7/ Includes emissions related to (but not limited to) miscellaneous uses such as transformers, medical imaging and other medical equipment,</t>
  </si>
  <si>
    <t>elevators, escalators, off-road electric vehicles, laboratory fume hoods, laundry equipment, coffee brewers, water services, emergency</t>
  </si>
  <si>
    <t>generators, combined heat and power in commercial buildings, manufacturing performed in commercial buildings, and cooking (distillate),</t>
  </si>
  <si>
    <t>plus residual fuel oil, propane, coal, motor gasoline, kerosene, and marketed renewable fuels (biomass).</t>
  </si>
  <si>
    <t xml:space="preserve">   8/ Includes combined heat and power plants that have a non-regulatory status, and small on-site generating systems.</t>
  </si>
  <si>
    <t xml:space="preserve">   9/ Commercial trucks 8,501 to 10,000 pounds gross vehicle weight rating.</t>
  </si>
  <si>
    <t xml:space="preserve">   10/ By convention, the direct emissions from biogenic energy sources are excluded from energy-related CO2 emissions.  The release</t>
  </si>
  <si>
    <t>of carbon from these sources is assumed to be balanced by the uptake of carbon when the feedstock is grown, resulting in zero net</t>
  </si>
  <si>
    <t>emissions over some period of time. If, however, increased use of biomass energy results in a decline in terrestrial carbon stocks, a</t>
  </si>
  <si>
    <t>net positive release of carbon may occur.  Accordingly, the emissions from biogenic energy sources are reported here as an indication</t>
  </si>
  <si>
    <t>of the potential net release of carbon dioxide in the absence of offsetting sequestration.</t>
  </si>
  <si>
    <r>
      <rPr>
        <b/>
        <sz val="10"/>
        <rFont val="Tahoma"/>
        <family val="2"/>
      </rPr>
      <t>Table 3-21: 2015 Adjusted Non-Energy Use Fossil Fuel Consumption, Storage, and Emissions</t>
    </r>
  </si>
  <si>
    <t>Industry Sector (assumptions)</t>
  </si>
  <si>
    <t xml:space="preserve">   CO2e emissions from non energy use of fossil fuels</t>
  </si>
  <si>
    <t>Non-Energy Uses of Fossil Fuels</t>
  </si>
  <si>
    <t>Projected Fossil Fuel Use for Non-Energy Purposes</t>
  </si>
  <si>
    <t>Use Energy Information Administration</t>
  </si>
  <si>
    <t>Annual Energy Outlook</t>
  </si>
  <si>
    <t>Table 6 (no CPP)</t>
  </si>
  <si>
    <t>https://www.eia.gov/outlooks/aeo/excel/nocpp/aeotab_6.xlsx</t>
  </si>
  <si>
    <t>Iron and Steel and Chemicals</t>
  </si>
  <si>
    <t>Historical emissions from EPA's GHG inventory are scaled in future years based on the ratio of energy consumption of traditional non-energy use fuels in future years to the base year (2015) using EIA AEO 2017 (no CPP). Emissions are allocated to sectors based on typical fuel use.</t>
  </si>
  <si>
    <t>EPA (2013) equation 2</t>
  </si>
  <si>
    <t>Source Categories and Methodology</t>
  </si>
  <si>
    <t>Page 1</t>
  </si>
  <si>
    <t>EPA (2013) p. 37</t>
  </si>
  <si>
    <t>Historical emissions from EPA's GHG inventory are scaled in future years based on the ratio of energy-emissions in future years to the base year (2015) using EIA AEO 2017 (no CPP).</t>
  </si>
  <si>
    <t>EPA (2013) equations 3, 4, and 5</t>
  </si>
  <si>
    <t>Historical Coal Production</t>
  </si>
  <si>
    <r>
      <t xml:space="preserve">   </t>
    </r>
    <r>
      <rPr>
        <i/>
        <sz val="11"/>
        <color theme="1"/>
        <rFont val="Calibri"/>
        <family val="2"/>
        <scheme val="minor"/>
      </rPr>
      <t>CH4 from underground production</t>
    </r>
  </si>
  <si>
    <t xml:space="preserve">   CH4 from aboveground production</t>
  </si>
  <si>
    <t>CH4 captured through methane recovery</t>
  </si>
  <si>
    <t>Table 3-28</t>
  </si>
  <si>
    <t>Projected Underground and Surface Coal Production</t>
  </si>
  <si>
    <t>Potential Emissions</t>
  </si>
  <si>
    <t>NGS000</t>
  </si>
  <si>
    <t>13. Natural Gas Supply, Disposition, and Prices</t>
  </si>
  <si>
    <t>(trillion cubic feet, unless otherwise noted)</t>
  </si>
  <si>
    <t xml:space="preserve"> Supply, Disposition, and Prices</t>
  </si>
  <si>
    <t xml:space="preserve"> Production</t>
  </si>
  <si>
    <t>NGS000:ba_DryGasProduct</t>
  </si>
  <si>
    <t xml:space="preserve">   Dry Gas Production 1/</t>
  </si>
  <si>
    <t>NGS000:ba_SupplementalN</t>
  </si>
  <si>
    <t xml:space="preserve">   Supplemental Natural Gas 2/</t>
  </si>
  <si>
    <t>NGS000:ca_NetImports</t>
  </si>
  <si>
    <t xml:space="preserve"> Net Imports</t>
  </si>
  <si>
    <t>NGS000:ca_PipelineImp</t>
  </si>
  <si>
    <t xml:space="preserve">   Pipeline 3/</t>
  </si>
  <si>
    <t>NGS000:ca_LiquefiedNatu</t>
  </si>
  <si>
    <t xml:space="preserve">   Liquefied Natural Gas</t>
  </si>
  <si>
    <t>NGS000:da_TotalSupply</t>
  </si>
  <si>
    <t xml:space="preserve"> Total Supply</t>
  </si>
  <si>
    <t xml:space="preserve"> Consumption by Sector</t>
  </si>
  <si>
    <t>NGS000:ea_Residential</t>
  </si>
  <si>
    <t xml:space="preserve">   Residential</t>
  </si>
  <si>
    <t>NGS000:ea_Commercial</t>
  </si>
  <si>
    <t xml:space="preserve">   Commercial</t>
  </si>
  <si>
    <t>NGS000:ea_Industrial</t>
  </si>
  <si>
    <t xml:space="preserve">   Industrial 4/</t>
  </si>
  <si>
    <t>NGS000:fa_GastoLiquids</t>
  </si>
  <si>
    <t>NGS000:fa_Gas2LiqLiqPrd</t>
  </si>
  <si>
    <t>NGS000:ea_ElectricPower</t>
  </si>
  <si>
    <t>NGS000:ea_Transportatio</t>
  </si>
  <si>
    <t>NGS000:ea_PipelineFuel</t>
  </si>
  <si>
    <t>NGS000:ea_LeaseandPlant</t>
  </si>
  <si>
    <t>NGS000:ea_liquefactexp</t>
  </si>
  <si>
    <t>NGS000:ea_Total</t>
  </si>
  <si>
    <t>NGS000:ga_Discrepancy</t>
  </si>
  <si>
    <t>Natural Gas Prices</t>
  </si>
  <si>
    <t xml:space="preserve">  Natural Gas Spot Price at Henry Hub</t>
  </si>
  <si>
    <t>NGS000:ia_HenryHub</t>
  </si>
  <si>
    <t xml:space="preserve">  Delivered Prices</t>
  </si>
  <si>
    <t>NGS000:ja_Residential</t>
  </si>
  <si>
    <t xml:space="preserve">     Residential</t>
  </si>
  <si>
    <t>NGS000:ja_Commercial</t>
  </si>
  <si>
    <t xml:space="preserve">     Commercial</t>
  </si>
  <si>
    <t>NGS000:ja_Industrial</t>
  </si>
  <si>
    <t>NGS000:ja_ElectricPower</t>
  </si>
  <si>
    <t xml:space="preserve">     Electric Power 7/</t>
  </si>
  <si>
    <t>NGS000:ja_Transportatio</t>
  </si>
  <si>
    <t xml:space="preserve">     Transportation 12/</t>
  </si>
  <si>
    <t>NGS000:ja_Average</t>
  </si>
  <si>
    <t xml:space="preserve">        Average 13/</t>
  </si>
  <si>
    <t>NGS000:nom_HenryHub</t>
  </si>
  <si>
    <t xml:space="preserve">  (nominal dollars per thousand cubic feet)</t>
  </si>
  <si>
    <t>NGS000:nom_Residential</t>
  </si>
  <si>
    <t>NGS000:nom_Commercial</t>
  </si>
  <si>
    <t>NGS000:nom_Industrial</t>
  </si>
  <si>
    <t>NGS000:nom_ElectricPowr</t>
  </si>
  <si>
    <t>NGS000:nom_Transportati</t>
  </si>
  <si>
    <t>NGS000:nom_Average</t>
  </si>
  <si>
    <t xml:space="preserve">   1/ Marketed production (wet) minus extraction losses.</t>
  </si>
  <si>
    <t xml:space="preserve">   2/ Synthetic natural gas, propane air, coke oven gas, refinery gas, biomass gas, air injected for Btu stabilization, and manufactured</t>
  </si>
  <si>
    <t>gas commingled and distributed with natural gas.</t>
  </si>
  <si>
    <t xml:space="preserve">   3/ Natural gas imported from Canada and Mexico.</t>
  </si>
  <si>
    <t xml:space="preserve">   4/ Includes energy for combined heat and power plants that have a non-regulatory status, and small on-site generating systems.</t>
  </si>
  <si>
    <t>and estimated dispensing costs or charges.</t>
  </si>
  <si>
    <t>standard temperature and pressure and the merger of different data reporting systems which vary in scope, format, definition, and</t>
  </si>
  <si>
    <t xml:space="preserve">   12/ Natural gas used as fuel in motor vehicles, trains, and ships.  Price includes estimated motor vehicle fuel taxes</t>
  </si>
  <si>
    <t>Projected Production Emissions</t>
  </si>
  <si>
    <t>Table 3.6-1: CH4 Emissions (kt) for Natural Gas Systems, by Segment and Source, for All Years</t>
  </si>
  <si>
    <t>Table Footnotes:</t>
  </si>
  <si>
    <t>"NE" indicates value not estimated</t>
  </si>
  <si>
    <t>[a] Plant grouped emission sources include fugitives, compressors, dehydrators, and flares</t>
  </si>
  <si>
    <t>Segment/Source</t>
  </si>
  <si>
    <t>PRODUCTION</t>
  </si>
  <si>
    <t>Gas STAR Reductions</t>
  </si>
  <si>
    <t>Regulatory Reductions</t>
  </si>
  <si>
    <t>Net Emissions</t>
  </si>
  <si>
    <t>Normal Fugitives</t>
  </si>
  <si>
    <t>Gas Wells</t>
  </si>
  <si>
    <t>Non-associated Gas Wells (less fractured wells)</t>
  </si>
  <si>
    <t>Gas Wells with Hydraulic Fracturing</t>
  </si>
  <si>
    <t>Well Pad Equipment</t>
  </si>
  <si>
    <t>Heaters</t>
  </si>
  <si>
    <t>Separators</t>
  </si>
  <si>
    <t>Dehydrators</t>
  </si>
  <si>
    <t>Meters/Piping</t>
  </si>
  <si>
    <t>Compressors</t>
  </si>
  <si>
    <t>Gathering and Boosting</t>
  </si>
  <si>
    <t>Gathering and Boosting Stations</t>
  </si>
  <si>
    <t>Pipeline Leaks</t>
  </si>
  <si>
    <t>Vented and Combusted</t>
  </si>
  <si>
    <t>Drilling, Well Completion, and Well Workover</t>
  </si>
  <si>
    <t>Gas Well Completions without Hydraulic Fracturing</t>
  </si>
  <si>
    <t>Gas Well Workovers without Hydraulic Fracturing</t>
  </si>
  <si>
    <t>Hydraulic Fracturing Completions and Workovers that vent</t>
  </si>
  <si>
    <t>Flared Hydraulic Fracturing Completions and Workovers</t>
  </si>
  <si>
    <t>Hydraulic Fracturing Completions and Workovers with RECs</t>
  </si>
  <si>
    <t>Hydraulic Fracturing Completions and Workovers with RECs that flare</t>
  </si>
  <si>
    <t>Well Drilling</t>
  </si>
  <si>
    <t>Produced Water from Coal Bed Methane</t>
  </si>
  <si>
    <t xml:space="preserve">     Powder River</t>
  </si>
  <si>
    <t xml:space="preserve">     Black Warrior</t>
  </si>
  <si>
    <t>Normal Operations</t>
  </si>
  <si>
    <t>Pneumatic Device Vents</t>
  </si>
  <si>
    <t xml:space="preserve">             (Low Bleed)</t>
  </si>
  <si>
    <t xml:space="preserve">             (High Bleed)</t>
  </si>
  <si>
    <t xml:space="preserve">             (Intermittent Bleed)</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</si>
  <si>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</si>
  <si>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</si>
  <si>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</si>
  <si>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</si>
  <si>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</si>
  <si>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</si>
  <si>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</si>
  <si>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</si>
  <si>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</si>
  <si>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</si>
  <si>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</si>
  <si>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</si>
  <si>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</si>
  <si>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Well Clean Ups (LP Gas Wells) - Vent Using Plungers</t>
  </si>
  <si>
    <t>Well Clean Ups (LP Gas Wells) - Vent Without Using Plungers</t>
  </si>
  <si>
    <t>Blowdowns</t>
  </si>
  <si>
    <t>Vessel BD</t>
  </si>
  <si>
    <t>Pipeline BD</t>
  </si>
  <si>
    <t>Compressor BD</t>
  </si>
  <si>
    <t>Compressor Starts</t>
  </si>
  <si>
    <t>G&amp;B Station Episodic Events</t>
  </si>
  <si>
    <t>Upsets</t>
  </si>
  <si>
    <t>Pressure Relief Valves</t>
  </si>
  <si>
    <t>Mishaps</t>
  </si>
  <si>
    <t>Offshore</t>
  </si>
  <si>
    <t>Shallow water Gas Platforms (GoM and Pacific)</t>
  </si>
  <si>
    <t>Deepwater Gas Platforms (GoM and Pacific)</t>
  </si>
  <si>
    <t>GAS PROCESSING PLANTS</t>
  </si>
  <si>
    <t>Fugitives, Vented, and Combusted</t>
  </si>
  <si>
    <t>Plant Grouped Emission Sources[a]</t>
  </si>
  <si>
    <t>Plant Fugitives</t>
  </si>
  <si>
    <t>NE</t>
  </si>
  <si>
    <t>Recip. Compressors</t>
  </si>
  <si>
    <t>Centrifugal Compressors (wet seals)</t>
  </si>
  <si>
    <t>Centrifugal Compressors (dry seals)</t>
  </si>
  <si>
    <t>Flares</t>
  </si>
  <si>
    <t xml:space="preserve">    Compressor Exhaust</t>
  </si>
  <si>
    <t xml:space="preserve">        Gas Engines</t>
  </si>
  <si>
    <t xml:space="preserve">        Gas Turbines</t>
  </si>
  <si>
    <t xml:space="preserve">    AGR Vents</t>
  </si>
  <si>
    <t xml:space="preserve">    Pneumatic Devices</t>
  </si>
  <si>
    <t>Routine Maintenance</t>
  </si>
  <si>
    <t>Blowdowns/Venting</t>
  </si>
  <si>
    <t>TRANSMISSION AND STORAGE</t>
  </si>
  <si>
    <t>Fugitives</t>
  </si>
  <si>
    <t>Compressor Stations (Transmission)</t>
  </si>
  <si>
    <t xml:space="preserve">    Station Total Emissions</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</si>
  <si>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</si>
  <si>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</si>
  <si>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</si>
  <si>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</si>
  <si>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</si>
  <si>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</si>
  <si>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</si>
  <si>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</si>
  <si>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</si>
  <si>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 xml:space="preserve">    Dehydrator vents (Transmission)</t>
  </si>
  <si>
    <t xml:space="preserve">    Dehydrator vents (Storage) </t>
  </si>
  <si>
    <t xml:space="preserve">        Engines (Transmission)</t>
  </si>
  <si>
    <t xml:space="preserve">        Turbines (Transmission)</t>
  </si>
  <si>
    <t xml:space="preserve">        Engines (Storage)</t>
  </si>
  <si>
    <t xml:space="preserve">        Turbines (Storage)</t>
  </si>
  <si>
    <t xml:space="preserve">        Generators (Engines)</t>
  </si>
  <si>
    <t xml:space="preserve">        Generators (Turbines)</t>
  </si>
  <si>
    <t xml:space="preserve">    Pneumatic Devices Trans + Stor</t>
  </si>
  <si>
    <t xml:space="preserve">        Pneumatic Devices Transmission</t>
  </si>
  <si>
    <t xml:space="preserve">        Pneumatic Devices Storage</t>
  </si>
  <si>
    <t>Routine Maintenance/Upsets</t>
  </si>
  <si>
    <t xml:space="preserve">    Pipeline venting</t>
  </si>
  <si>
    <t xml:space="preserve">    Station venting Trans + Storage</t>
  </si>
  <si>
    <t xml:space="preserve">        Station Venting Transmission</t>
  </si>
  <si>
    <t xml:space="preserve">        Station Venting Storage</t>
  </si>
  <si>
    <t>LNG Storage</t>
  </si>
  <si>
    <t>LNG Stations</t>
  </si>
  <si>
    <t>LNG Reciprocating Compressors</t>
  </si>
  <si>
    <t>LNG Centrifugal Compressors</t>
  </si>
  <si>
    <t>LNG Compressor Exhaust</t>
  </si>
  <si>
    <t xml:space="preserve">    LNG Engines</t>
  </si>
  <si>
    <t xml:space="preserve">    LNG Turbines</t>
  </si>
  <si>
    <t>LNG Station venting</t>
  </si>
  <si>
    <t>LNG Import Terminals</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</si>
  <si>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</si>
  <si>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</si>
  <si>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</si>
  <si>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</si>
  <si>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</si>
  <si>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</si>
  <si>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</si>
  <si>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</si>
  <si>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</si>
  <si>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</si>
  <si>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 xml:space="preserve">    M&amp;R &gt;300</t>
  </si>
  <si>
    <t xml:space="preserve">    M&amp;R 100-300</t>
  </si>
  <si>
    <t xml:space="preserve">    M&amp;R &lt;100</t>
  </si>
  <si>
    <t xml:space="preserve">    Reg &gt;300</t>
  </si>
  <si>
    <t xml:space="preserve">    R-Vault &gt;300</t>
  </si>
  <si>
    <t xml:space="preserve">    Reg 100-300</t>
  </si>
  <si>
    <t xml:space="preserve">    R-Vault 100-300</t>
  </si>
  <si>
    <t xml:space="preserve">    Reg 40-100</t>
  </si>
  <si>
    <t xml:space="preserve">    R-Vault 40-100</t>
  </si>
  <si>
    <t xml:space="preserve">    Reg &lt;40</t>
  </si>
  <si>
    <t>Customer Meters</t>
  </si>
  <si>
    <t xml:space="preserve">    Residential</t>
  </si>
  <si>
    <t xml:space="preserve">    Commercial/Industry</t>
  </si>
  <si>
    <t>Vented</t>
  </si>
  <si>
    <t>Rountine Maintenance</t>
  </si>
  <si>
    <t xml:space="preserve">    Pressure Relief Valve Releases</t>
  </si>
  <si>
    <t xml:space="preserve">    Pipeline Blowdown</t>
  </si>
  <si>
    <t xml:space="preserve">    Mishaps (Dig-ins)</t>
  </si>
  <si>
    <t>Additional Regulatory Reductions</t>
  </si>
  <si>
    <r>
      <t xml:space="preserve">   </t>
    </r>
    <r>
      <rPr>
        <i/>
        <sz val="9"/>
        <rFont val="Calibri"/>
        <family val="2"/>
        <scheme val="minor"/>
      </rPr>
      <t>NSPS Impact on New Hydraulically Fracked Wells with RECs &amp; Flaring</t>
    </r>
  </si>
  <si>
    <t xml:space="preserve">   NSPS Impact on New and Modified High-Bleed, Gas-Driven Pneumatic Controllers</t>
  </si>
  <si>
    <t xml:space="preserve">   NSPS Impact on New Storage Tanks</t>
  </si>
  <si>
    <t xml:space="preserve">   NSPS Impact on New and Modified Reciprocating Compressors</t>
  </si>
  <si>
    <t>Projected Processing Emissions</t>
  </si>
  <si>
    <t xml:space="preserve">   NSPS Impact on New and Modified Centrifugal Compressors (wet seals)</t>
  </si>
  <si>
    <t xml:space="preserve">   NSPS Impact on New and Modified High- Bleed, Gas-Driven Pneumatic Controllers</t>
  </si>
  <si>
    <t>Projected Transmission and Storage Emissions</t>
  </si>
  <si>
    <t>NGI000</t>
  </si>
  <si>
    <t>62. Natural Gas Imports and Exports</t>
  </si>
  <si>
    <t xml:space="preserve"> Volumes and Prices</t>
  </si>
  <si>
    <t>Volumes (trillion cubic feet)</t>
  </si>
  <si>
    <t>NGI000:ba_TotalImports</t>
  </si>
  <si>
    <t xml:space="preserve"> Imports</t>
  </si>
  <si>
    <t>NGI000:ba_PipelineImpor</t>
  </si>
  <si>
    <t xml:space="preserve">   Pipeline Imports from Canada</t>
  </si>
  <si>
    <t>NGI000:ca_PipelineImpor</t>
  </si>
  <si>
    <t xml:space="preserve">   Pipeline Imports from Mexico</t>
  </si>
  <si>
    <t>NGI000:ca_LiquefiedNatu</t>
  </si>
  <si>
    <t>NGI000:ca_TotalExports</t>
  </si>
  <si>
    <t xml:space="preserve"> Exports</t>
  </si>
  <si>
    <t>NGI000:ca_PipelineExpor</t>
  </si>
  <si>
    <t xml:space="preserve">   Pipeline Exports to Canada</t>
  </si>
  <si>
    <t>NGI000:da_PipelineExpor</t>
  </si>
  <si>
    <t xml:space="preserve">   Pipeline Exports to Mexico</t>
  </si>
  <si>
    <t>NGI000:da_LiquefiedNatu</t>
  </si>
  <si>
    <t>NGI000:ba_NetImports</t>
  </si>
  <si>
    <t>NGI000:ba_PipeNetCanada</t>
  </si>
  <si>
    <t xml:space="preserve">   Canada</t>
  </si>
  <si>
    <t>NGI000:ca_PipeNetMexico</t>
  </si>
  <si>
    <t xml:space="preserve">   Mexico</t>
  </si>
  <si>
    <t>NGI000:NetLiquefiedNatu</t>
  </si>
  <si>
    <t xml:space="preserve">   LNG = Liquefied natural gas.</t>
  </si>
  <si>
    <t>Projected Distribution Emissions</t>
  </si>
  <si>
    <t>Table 3.6-7: Activity Data for Natural Gas Systems Sources, for All Years</t>
  </si>
  <si>
    <t>Units</t>
  </si>
  <si>
    <t>Total Active Gas Wells</t>
  </si>
  <si>
    <t>wells</t>
  </si>
  <si>
    <t>heaters</t>
  </si>
  <si>
    <t>separators</t>
  </si>
  <si>
    <t>dehydrators</t>
  </si>
  <si>
    <t>meters</t>
  </si>
  <si>
    <t>compressors</t>
  </si>
  <si>
    <t>stations</t>
  </si>
  <si>
    <t>miles</t>
  </si>
  <si>
    <t>completions/year</t>
  </si>
  <si>
    <t>workovers/year</t>
  </si>
  <si>
    <t>completions and workovers/year</t>
  </si>
  <si>
    <t xml:space="preserve">   Black Warrior</t>
  </si>
  <si>
    <t xml:space="preserve">   Powder River</t>
  </si>
  <si>
    <t>gal produced water</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</si>
  <si>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</si>
  <si>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</si>
  <si>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</si>
  <si>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</si>
  <si>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</si>
  <si>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</si>
  <si>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</si>
  <si>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</si>
  <si>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</si>
  <si>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</si>
  <si>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</si>
  <si>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</si>
  <si>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</si>
  <si>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Pipeline Blowdowns</t>
  </si>
  <si>
    <t>miles (gathering)</t>
  </si>
  <si>
    <t>Compressor Blowdowns</t>
  </si>
  <si>
    <t>PRV</t>
  </si>
  <si>
    <t>Shallow water gas platforms</t>
  </si>
  <si>
    <t>Deep water gas platforms</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</si>
  <si>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</si>
  <si>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</si>
  <si>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</si>
  <si>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</si>
  <si>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</si>
  <si>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</si>
  <si>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</si>
  <si>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</si>
  <si>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</si>
  <si>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</si>
  <si>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</si>
  <si>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</si>
  <si>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 xml:space="preserve">    Pneumatic Devices Transmission and Storage</t>
  </si>
  <si>
    <t>devices</t>
  </si>
  <si>
    <t xml:space="preserve">        Pneumatic Devices Transmission (high bleed)</t>
  </si>
  <si>
    <t xml:space="preserve">        Pneumatic Devices Transmission (intermittent bleed)</t>
  </si>
  <si>
    <t xml:space="preserve">        Pneumatic Devices Transmission (low bleed)</t>
  </si>
  <si>
    <t xml:space="preserve">        Pneumatic Devices Storage (high bleed)</t>
  </si>
  <si>
    <t xml:space="preserve">        Pneumatic Devices Storage (intermittent bleed)</t>
  </si>
  <si>
    <t xml:space="preserve">        Pneumatic Devices Storage (low bleed)</t>
  </si>
  <si>
    <t xml:space="preserve">    Station venting Transmission and Storage</t>
  </si>
  <si>
    <t>compressor stations</t>
  </si>
  <si>
    <t xml:space="preserve"> stations</t>
  </si>
  <si>
    <t>Total Pipeline Miles</t>
  </si>
  <si>
    <t>services</t>
  </si>
  <si>
    <t>Total Services</t>
  </si>
  <si>
    <t>outdoor meters</t>
  </si>
  <si>
    <t>mile main</t>
  </si>
  <si>
    <t>Total Natural Gas System Emissions</t>
  </si>
  <si>
    <t>Natural Gas Systems</t>
  </si>
  <si>
    <t>Historical Emissions and Activity</t>
  </si>
  <si>
    <t>Inventory of U.S. Greenhouse Gas Emissions and Sinks: 1990-2015, Annex 3.6 Data Tables</t>
  </si>
  <si>
    <t>https://www.epa.gov/sites/production/files/2017-04/2017_ghgi_natural_gas_systems_annex_tables.xlsx</t>
  </si>
  <si>
    <t>Tables 3.6-1 and 3.6-7</t>
  </si>
  <si>
    <t>Projected Natural Gas Dry Production and Consumption</t>
  </si>
  <si>
    <t>Projected LNG Imports</t>
  </si>
  <si>
    <t>https://www.eia.gov/outlooks/aeo/supplement/excel/suptab_62.xlsx</t>
  </si>
  <si>
    <t>EPA (2013) equations 6, 7, 8 and 9 and methodology for calculating and reapportioning voluntary and regulatory reductions</t>
  </si>
  <si>
    <t xml:space="preserve">   CO2 emissions from iron, steel, and metallurgical coke production</t>
  </si>
  <si>
    <t>Used EPA emissions factor for aggregate cement CO2 non-energy emissions from IPCC methodology report and multiplied by base year production scaled by the ratio of future production value to base year production value from EIA AEO 2017 (no CPP).</t>
  </si>
  <si>
    <t>Emissions factors for CH4 from underground and surface mining are calculated based on historical emissions and production, including for methane recovery. Projected emissions are calculated by scaling baseyear production up based on the growth rate for future production from EIA AEO 2017 (no CPP) and multiplied by the emissions factors.</t>
  </si>
  <si>
    <t>EPA (2013) equations 11 and 12</t>
  </si>
  <si>
    <t>Emissions are calculated separately for production field operations, transportation, and crude oil refining. Emissions factors are developed by dividing historical emissions from EPA's GHG Inventory by historical production and refining. Emissions in future years are projected by multiplying the emissions factors by the base year production and refining and scaling based based on projected production relative to base year projected production from EIA AEO 2017 (no CPP). Crude oil transportation emissions are assumed constant.</t>
  </si>
  <si>
    <t>Petroleum Systems</t>
  </si>
  <si>
    <t>Historical Crude Oil Production</t>
  </si>
  <si>
    <t>Petroleum &amp; Other Liquids: Crude Oil Production</t>
  </si>
  <si>
    <t>Historical Crude Oil Supply</t>
  </si>
  <si>
    <t>Petroleum &amp; Other Liquids: U.S. Crude Oil Supply &amp; Disposition</t>
  </si>
  <si>
    <t>Historical Emissions - CH4 (kt)</t>
  </si>
  <si>
    <t>Historical Emissions - CO2 (kt)</t>
  </si>
  <si>
    <t>kt/1000 barrels</t>
  </si>
  <si>
    <t>Scaling Factors</t>
  </si>
  <si>
    <t>2015 emissions held constant in future years</t>
  </si>
  <si>
    <t>EPA (2013), p.35</t>
  </si>
  <si>
    <t>Emissions are projected separately for feedstock and non-feedstock uses. Future emissions are forecast based on an emissions factor from EPA (2013) p. 43, feedstock production growth of 5% per year, and non-feedstock production assumptions from EPA (2013).</t>
  </si>
  <si>
    <t>EPA (2013) p. 41</t>
  </si>
  <si>
    <t>Abandoned Underground Coal Mines</t>
  </si>
  <si>
    <t>Nitric Acid Production</t>
  </si>
  <si>
    <t>Silicon Carbide Production</t>
  </si>
  <si>
    <t>Feroalloy Production</t>
  </si>
  <si>
    <t>Lime Production</t>
  </si>
  <si>
    <t>Limestone and Dolomite Use</t>
  </si>
  <si>
    <t>Ammonia Production</t>
  </si>
  <si>
    <t>Urea Consumption for Non-Agricultural Purposes</t>
  </si>
  <si>
    <t>Soda Ash Production and Consumption</t>
  </si>
  <si>
    <t>Petrochemical Production</t>
  </si>
  <si>
    <t>Carbon Dioxide Consumption</t>
  </si>
  <si>
    <t>Titanium Dioxide Production</t>
  </si>
  <si>
    <t>Zinc Production</t>
  </si>
  <si>
    <t>Phosphoric Acid Production</t>
  </si>
  <si>
    <t>Lead Production</t>
  </si>
  <si>
    <t>Field Burning of Agricultural Residues</t>
  </si>
  <si>
    <t>Wastewater Treatment (Industrial)</t>
  </si>
  <si>
    <t>Composting</t>
  </si>
  <si>
    <t>N2O Product Usage</t>
  </si>
  <si>
    <t>Sub-Sector</t>
  </si>
  <si>
    <t>Model Sector</t>
  </si>
  <si>
    <t>Coal Mining</t>
  </si>
  <si>
    <t>Cement and Other Carbonates</t>
  </si>
  <si>
    <r>
      <rPr>
        <b/>
        <sz val="10"/>
        <rFont val="Tahoma"/>
        <family val="2"/>
      </rPr>
      <t>Table ES-2: Recent Trends in U.S. Greenhouse Gas Emissions and Sinks (MMT CO</t>
    </r>
    <r>
      <rPr>
        <b/>
        <sz val="7"/>
        <rFont val="Tahoma"/>
        <family val="2"/>
      </rPr>
      <t xml:space="preserve">2 </t>
    </r>
    <r>
      <rPr>
        <b/>
        <sz val="10"/>
        <rFont val="Tahoma"/>
        <family val="2"/>
      </rPr>
      <t>Eq.)</t>
    </r>
  </si>
  <si>
    <r>
      <rPr>
        <b/>
        <sz val="9"/>
        <rFont val="Times New Roman"/>
        <family val="1"/>
      </rPr>
      <t>Gas/Source</t>
    </r>
  </si>
  <si>
    <r>
      <rPr>
        <b/>
        <sz val="9"/>
        <rFont val="Times New Roman"/>
        <family val="1"/>
      </rPr>
      <t>CO</t>
    </r>
    <r>
      <rPr>
        <b/>
        <sz val="6"/>
        <rFont val="Cambria Math"/>
        <family val="1"/>
      </rPr>
      <t>₂</t>
    </r>
  </si>
  <si>
    <r>
      <rPr>
        <sz val="9"/>
        <rFont val="Times New Roman"/>
        <family val="1"/>
      </rPr>
      <t>Fossil Fuel Combustion</t>
    </r>
  </si>
  <si>
    <r>
      <rPr>
        <i/>
        <sz val="9"/>
        <rFont val="Times New Roman"/>
        <family val="1"/>
      </rPr>
      <t>Electricity Generation</t>
    </r>
  </si>
  <si>
    <r>
      <rPr>
        <i/>
        <sz val="9"/>
        <rFont val="Times New Roman"/>
        <family val="1"/>
      </rPr>
      <t>Transportation</t>
    </r>
    <r>
      <rPr>
        <sz val="6"/>
        <rFont val="Times New Roman"/>
        <family val="1"/>
      </rPr>
      <t>a</t>
    </r>
  </si>
  <si>
    <r>
      <rPr>
        <i/>
        <sz val="9"/>
        <rFont val="Times New Roman"/>
        <family val="1"/>
      </rPr>
      <t>Industrial</t>
    </r>
    <r>
      <rPr>
        <sz val="6"/>
        <rFont val="Times New Roman"/>
        <family val="1"/>
      </rPr>
      <t>a</t>
    </r>
  </si>
  <si>
    <r>
      <rPr>
        <i/>
        <sz val="9"/>
        <rFont val="Times New Roman"/>
        <family val="1"/>
      </rPr>
      <t>Residential</t>
    </r>
  </si>
  <si>
    <r>
      <rPr>
        <i/>
        <sz val="9"/>
        <rFont val="Times New Roman"/>
        <family val="1"/>
      </rPr>
      <t>Commercial</t>
    </r>
    <r>
      <rPr>
        <sz val="6"/>
        <rFont val="Times New Roman"/>
        <family val="1"/>
      </rPr>
      <t>a</t>
    </r>
  </si>
  <si>
    <r>
      <rPr>
        <i/>
        <sz val="9"/>
        <rFont val="Times New Roman"/>
        <family val="1"/>
      </rPr>
      <t>U.S. Territories</t>
    </r>
  </si>
  <si>
    <r>
      <rPr>
        <sz val="9"/>
        <rFont val="Times New Roman"/>
        <family val="1"/>
      </rPr>
      <t>Non-Energy Use of Fuels</t>
    </r>
  </si>
  <si>
    <r>
      <rPr>
        <sz val="9"/>
        <rFont val="Times New Roman"/>
        <family val="1"/>
      </rPr>
      <t>Iron and Steel Production &amp; Metallurgical Coke Production</t>
    </r>
  </si>
  <si>
    <r>
      <rPr>
        <sz val="9"/>
        <rFont val="Times New Roman"/>
        <family val="1"/>
      </rPr>
      <t>Natural Gas Systems</t>
    </r>
  </si>
  <si>
    <r>
      <rPr>
        <sz val="9"/>
        <rFont val="Times New Roman"/>
        <family val="1"/>
      </rPr>
      <t>Cement Production</t>
    </r>
  </si>
  <si>
    <r>
      <rPr>
        <sz val="9"/>
        <rFont val="Times New Roman"/>
        <family val="1"/>
      </rPr>
      <t>Petrochemical Production</t>
    </r>
  </si>
  <si>
    <r>
      <rPr>
        <sz val="9"/>
        <rFont val="Times New Roman"/>
        <family val="1"/>
      </rPr>
      <t>Lime Production</t>
    </r>
  </si>
  <si>
    <r>
      <rPr>
        <sz val="9"/>
        <rFont val="Times New Roman"/>
        <family val="1"/>
      </rPr>
      <t>Other Process Uses of Carbonates</t>
    </r>
  </si>
  <si>
    <r>
      <rPr>
        <sz val="9"/>
        <rFont val="Times New Roman"/>
        <family val="1"/>
      </rPr>
      <t>Ammonia Production</t>
    </r>
  </si>
  <si>
    <r>
      <rPr>
        <sz val="9"/>
        <rFont val="Times New Roman"/>
        <family val="1"/>
      </rPr>
      <t>Incineration of Waste</t>
    </r>
  </si>
  <si>
    <r>
      <rPr>
        <sz val="9"/>
        <rFont val="Times New Roman"/>
        <family val="1"/>
      </rPr>
      <t>Urea Fertilization</t>
    </r>
  </si>
  <si>
    <r>
      <rPr>
        <sz val="9"/>
        <rFont val="Times New Roman"/>
        <family val="1"/>
      </rPr>
      <t>Carbon Dioxide Consumption</t>
    </r>
  </si>
  <si>
    <r>
      <rPr>
        <sz val="9"/>
        <rFont val="Times New Roman"/>
        <family val="1"/>
      </rPr>
      <t>Liming</t>
    </r>
  </si>
  <si>
    <r>
      <rPr>
        <sz val="9"/>
        <rFont val="Times New Roman"/>
        <family val="1"/>
      </rPr>
      <t>Petroleum Systems</t>
    </r>
  </si>
  <si>
    <r>
      <rPr>
        <sz val="9"/>
        <rFont val="Times New Roman"/>
        <family val="1"/>
      </rPr>
      <t>Soda Ash Production and Consumption</t>
    </r>
  </si>
  <si>
    <r>
      <rPr>
        <sz val="9"/>
        <rFont val="Times New Roman"/>
        <family val="1"/>
      </rPr>
      <t>Aluminum Production</t>
    </r>
  </si>
  <si>
    <r>
      <rPr>
        <sz val="9"/>
        <rFont val="Times New Roman"/>
        <family val="1"/>
      </rPr>
      <t>Ferroalloy Production</t>
    </r>
  </si>
  <si>
    <r>
      <rPr>
        <sz val="9"/>
        <rFont val="Times New Roman"/>
        <family val="1"/>
      </rPr>
      <t>Titanium Dioxide Production</t>
    </r>
  </si>
  <si>
    <r>
      <rPr>
        <sz val="9"/>
        <rFont val="Times New Roman"/>
        <family val="1"/>
      </rPr>
      <t>Glass Production</t>
    </r>
  </si>
  <si>
    <r>
      <rPr>
        <sz val="9"/>
        <rFont val="Times New Roman"/>
        <family val="1"/>
      </rPr>
      <t>Urea Consumption for Non- Agricultural Purposes</t>
    </r>
  </si>
  <si>
    <r>
      <rPr>
        <sz val="9"/>
        <rFont val="Times New Roman"/>
        <family val="1"/>
      </rPr>
      <t>Phosphoric Acid Production</t>
    </r>
  </si>
  <si>
    <r>
      <rPr>
        <sz val="9"/>
        <rFont val="Times New Roman"/>
        <family val="1"/>
      </rPr>
      <t>Zinc Production</t>
    </r>
  </si>
  <si>
    <r>
      <rPr>
        <sz val="9"/>
        <rFont val="Times New Roman"/>
        <family val="1"/>
      </rPr>
      <t>Lead Production</t>
    </r>
  </si>
  <si>
    <r>
      <rPr>
        <sz val="9"/>
        <rFont val="Times New Roman"/>
        <family val="1"/>
      </rPr>
      <t>Silicon Carbide Production and Consumption</t>
    </r>
  </si>
  <si>
    <r>
      <rPr>
        <sz val="9"/>
        <rFont val="Times New Roman"/>
        <family val="1"/>
      </rPr>
      <t>Magnesium Production and Processing</t>
    </r>
  </si>
  <si>
    <r>
      <rPr>
        <i/>
        <sz val="9"/>
        <rFont val="Times New Roman"/>
        <family val="1"/>
      </rPr>
      <t>Wood Biomass, Ethanol, and Biodiesel Consumption</t>
    </r>
    <r>
      <rPr>
        <i/>
        <sz val="6"/>
        <rFont val="Times New Roman"/>
        <family val="1"/>
      </rPr>
      <t>b</t>
    </r>
  </si>
  <si>
    <r>
      <rPr>
        <i/>
        <sz val="9"/>
        <rFont val="Times New Roman"/>
        <family val="1"/>
      </rPr>
      <t>International Bunker Fuels</t>
    </r>
    <r>
      <rPr>
        <i/>
        <sz val="6"/>
        <rFont val="Times New Roman"/>
        <family val="1"/>
      </rPr>
      <t>c</t>
    </r>
  </si>
  <si>
    <r>
      <rPr>
        <b/>
        <sz val="9"/>
        <rFont val="Times New Roman"/>
        <family val="1"/>
      </rPr>
      <t>CH</t>
    </r>
    <r>
      <rPr>
        <b/>
        <sz val="6"/>
        <rFont val="Times New Roman"/>
        <family val="1"/>
      </rPr>
      <t>4</t>
    </r>
  </si>
  <si>
    <r>
      <rPr>
        <sz val="9"/>
        <rFont val="Times New Roman"/>
        <family val="1"/>
      </rPr>
      <t>Enteric Fermentation</t>
    </r>
  </si>
  <si>
    <r>
      <rPr>
        <sz val="9"/>
        <rFont val="Times New Roman"/>
        <family val="1"/>
      </rPr>
      <t>Landfills</t>
    </r>
  </si>
  <si>
    <r>
      <rPr>
        <sz val="9"/>
        <rFont val="Times New Roman"/>
        <family val="1"/>
      </rPr>
      <t>Manure Management</t>
    </r>
  </si>
  <si>
    <r>
      <rPr>
        <sz val="9"/>
        <rFont val="Times New Roman"/>
        <family val="1"/>
      </rPr>
      <t>Coal Mining</t>
    </r>
  </si>
  <si>
    <r>
      <rPr>
        <sz val="9"/>
        <rFont val="Times New Roman"/>
        <family val="1"/>
      </rPr>
      <t>Wastewater Treatment</t>
    </r>
  </si>
  <si>
    <r>
      <rPr>
        <sz val="9"/>
        <rFont val="Times New Roman"/>
        <family val="1"/>
      </rPr>
      <t>Rice Cultivation</t>
    </r>
  </si>
  <si>
    <r>
      <rPr>
        <sz val="9"/>
        <rFont val="Times New Roman"/>
        <family val="1"/>
      </rPr>
      <t>Stationary Combustion</t>
    </r>
  </si>
  <si>
    <r>
      <rPr>
        <sz val="9"/>
        <rFont val="Times New Roman"/>
        <family val="1"/>
      </rPr>
      <t>Abandoned Underground Coal Mines</t>
    </r>
  </si>
  <si>
    <r>
      <rPr>
        <sz val="9"/>
        <rFont val="Times New Roman"/>
        <family val="1"/>
      </rPr>
      <t>Composting</t>
    </r>
  </si>
  <si>
    <r>
      <rPr>
        <sz val="9"/>
        <rFont val="Times New Roman"/>
        <family val="1"/>
      </rPr>
      <t>Mobile Combustion</t>
    </r>
    <r>
      <rPr>
        <sz val="6"/>
        <rFont val="Times New Roman"/>
        <family val="1"/>
      </rPr>
      <t>a</t>
    </r>
  </si>
  <si>
    <r>
      <rPr>
        <sz val="9"/>
        <rFont val="Times New Roman"/>
        <family val="1"/>
      </rPr>
      <t>Field Burning of Agricultural Residues</t>
    </r>
  </si>
  <si>
    <r>
      <rPr>
        <b/>
        <sz val="9"/>
        <rFont val="Times New Roman"/>
        <family val="1"/>
      </rPr>
      <t>N</t>
    </r>
    <r>
      <rPr>
        <b/>
        <sz val="6"/>
        <rFont val="Times New Roman"/>
        <family val="1"/>
      </rPr>
      <t>2</t>
    </r>
    <r>
      <rPr>
        <b/>
        <sz val="9"/>
        <rFont val="Times New Roman"/>
        <family val="1"/>
      </rPr>
      <t>O</t>
    </r>
  </si>
  <si>
    <r>
      <rPr>
        <sz val="9"/>
        <rFont val="Times New Roman"/>
        <family val="1"/>
      </rPr>
      <t>Agricultural Soil Management</t>
    </r>
  </si>
  <si>
    <r>
      <rPr>
        <sz val="9"/>
        <rFont val="Times New Roman"/>
        <family val="1"/>
      </rPr>
      <t>Nitric Acid Production</t>
    </r>
  </si>
  <si>
    <r>
      <rPr>
        <sz val="9"/>
        <rFont val="Times New Roman"/>
        <family val="1"/>
      </rPr>
      <t>Adipic Acid Production</t>
    </r>
  </si>
  <si>
    <r>
      <rPr>
        <sz val="9"/>
        <rFont val="Times New Roman"/>
        <family val="1"/>
      </rPr>
      <t>N</t>
    </r>
    <r>
      <rPr>
        <sz val="6"/>
        <rFont val="Cambria Math"/>
        <family val="1"/>
      </rPr>
      <t>₂</t>
    </r>
    <r>
      <rPr>
        <sz val="9"/>
        <rFont val="Times New Roman"/>
        <family val="1"/>
      </rPr>
      <t>O from Product Uses</t>
    </r>
  </si>
  <si>
    <r>
      <rPr>
        <sz val="9"/>
        <rFont val="Times New Roman"/>
        <family val="1"/>
      </rPr>
      <t>Semiconductor Manufacture</t>
    </r>
  </si>
  <si>
    <r>
      <rPr>
        <b/>
        <sz val="9"/>
        <rFont val="Times New Roman"/>
        <family val="1"/>
      </rPr>
      <t>HFCs</t>
    </r>
  </si>
  <si>
    <r>
      <rPr>
        <sz val="9"/>
        <rFont val="Times New Roman"/>
        <family val="1"/>
      </rPr>
      <t>Substitution of Ozone Depleting Substances</t>
    </r>
    <r>
      <rPr>
        <sz val="6"/>
        <rFont val="Times New Roman"/>
        <family val="1"/>
      </rPr>
      <t>d</t>
    </r>
  </si>
  <si>
    <r>
      <rPr>
        <sz val="9"/>
        <rFont val="Times New Roman"/>
        <family val="1"/>
      </rPr>
      <t>HCFC-22 Production</t>
    </r>
  </si>
  <si>
    <r>
      <rPr>
        <b/>
        <sz val="9"/>
        <rFont val="Times New Roman"/>
        <family val="1"/>
      </rPr>
      <t>PFCs</t>
    </r>
  </si>
  <si>
    <r>
      <rPr>
        <sz val="9"/>
        <rFont val="Times New Roman"/>
        <family val="1"/>
      </rPr>
      <t>Substitution of Ozone Depleting Substances</t>
    </r>
  </si>
  <si>
    <r>
      <rPr>
        <b/>
        <sz val="9"/>
        <rFont val="Times New Roman"/>
        <family val="1"/>
      </rPr>
      <t>SF</t>
    </r>
    <r>
      <rPr>
        <b/>
        <sz val="6"/>
        <rFont val="Times New Roman"/>
        <family val="1"/>
      </rPr>
      <t>6</t>
    </r>
  </si>
  <si>
    <r>
      <rPr>
        <sz val="9"/>
        <rFont val="Times New Roman"/>
        <family val="1"/>
      </rPr>
      <t>Electrical Transmission and Distribution</t>
    </r>
  </si>
  <si>
    <r>
      <rPr>
        <b/>
        <sz val="9"/>
        <rFont val="Times New Roman"/>
        <family val="1"/>
      </rPr>
      <t>NF</t>
    </r>
    <r>
      <rPr>
        <b/>
        <sz val="6"/>
        <rFont val="Times New Roman"/>
        <family val="1"/>
      </rPr>
      <t>3</t>
    </r>
  </si>
  <si>
    <r>
      <rPr>
        <b/>
        <sz val="9"/>
        <rFont val="Times New Roman"/>
        <family val="1"/>
      </rPr>
      <t>Total Emissions</t>
    </r>
  </si>
  <si>
    <r>
      <rPr>
        <b/>
        <sz val="9"/>
        <rFont val="Times New Roman"/>
        <family val="1"/>
      </rPr>
      <t>LULUCF Emissions</t>
    </r>
    <r>
      <rPr>
        <b/>
        <sz val="6"/>
        <rFont val="Times New Roman"/>
        <family val="1"/>
      </rPr>
      <t>e</t>
    </r>
  </si>
  <si>
    <r>
      <rPr>
        <b/>
        <sz val="9"/>
        <rFont val="Times New Roman"/>
        <family val="1"/>
      </rPr>
      <t>LULUCF Carbon Stock Change</t>
    </r>
    <r>
      <rPr>
        <b/>
        <sz val="6"/>
        <rFont val="Times New Roman"/>
        <family val="1"/>
      </rPr>
      <t>f</t>
    </r>
  </si>
  <si>
    <r>
      <rPr>
        <b/>
        <sz val="9"/>
        <rFont val="Times New Roman"/>
        <family val="1"/>
      </rPr>
      <t>LULUCF Sector Net Total</t>
    </r>
    <r>
      <rPr>
        <b/>
        <sz val="6"/>
        <rFont val="Times New Roman"/>
        <family val="1"/>
      </rPr>
      <t>g</t>
    </r>
  </si>
  <si>
    <r>
      <rPr>
        <b/>
        <sz val="9"/>
        <rFont val="Times New Roman"/>
        <family val="1"/>
      </rPr>
      <t>Net Emissions (Sources and Sinks)</t>
    </r>
  </si>
  <si>
    <r>
      <rPr>
        <sz val="9"/>
        <rFont val="Times New Roman"/>
        <family val="1"/>
      </rPr>
      <t xml:space="preserve">Notes: Total emissions presented without LULUCF. Net emissions presented with LULUCF.
</t>
    </r>
    <r>
      <rPr>
        <sz val="9"/>
        <rFont val="Times New Roman"/>
        <family val="1"/>
      </rPr>
      <t>+ Does not exceed 0.05 MMT CO</t>
    </r>
    <r>
      <rPr>
        <sz val="6"/>
        <rFont val="Times New Roman"/>
        <family val="1"/>
      </rPr>
      <t xml:space="preserve">2 </t>
    </r>
    <r>
      <rPr>
        <sz val="9"/>
        <rFont val="Times New Roman"/>
        <family val="1"/>
      </rPr>
      <t xml:space="preserve">Eq.
</t>
    </r>
    <r>
      <rPr>
        <sz val="6"/>
        <rFont val="Times New Roman"/>
        <family val="1"/>
      </rPr>
      <t xml:space="preserve">a </t>
    </r>
    <r>
      <rPr>
        <sz val="9"/>
        <rFont val="Times New Roman"/>
        <family val="1"/>
      </rPr>
      <t xml:space="preserve">There was a method update in this Inventory for estimating the share of gasoline used in on-road and non-road applications. The change does not impact total U.S. gasoline consumption. It mainly results in a shift in gasoline consumption from the transportation sector to industrial and commercial sectors for 2015, creating a break in the time series. The change is discussed further in the Planned Improvements section of Chapter 3.1.
</t>
    </r>
    <r>
      <rPr>
        <sz val="6"/>
        <rFont val="Times New Roman"/>
        <family val="1"/>
      </rPr>
      <t xml:space="preserve">b </t>
    </r>
    <r>
      <rPr>
        <sz val="9"/>
        <rFont val="Times New Roman"/>
        <family val="1"/>
      </rPr>
      <t xml:space="preserve">Emissions from Wood Biomass and Biofuel Consumption are not included specifically in summing Energy sector totals. Net carbon fluxes from changes in biogenic carbon reservoirs are accounted for in the estimates for Land Use, Land-Use Change, and Forestry.
</t>
    </r>
    <r>
      <rPr>
        <sz val="6"/>
        <rFont val="Times New Roman"/>
        <family val="1"/>
      </rPr>
      <t xml:space="preserve">c </t>
    </r>
    <r>
      <rPr>
        <sz val="9"/>
        <rFont val="Times New Roman"/>
        <family val="1"/>
      </rPr>
      <t xml:space="preserve">Emissions from International Bunker Fuels are not included in totals.
</t>
    </r>
    <r>
      <rPr>
        <sz val="6"/>
        <rFont val="Times New Roman"/>
        <family val="1"/>
      </rPr>
      <t xml:space="preserve">d </t>
    </r>
    <r>
      <rPr>
        <sz val="9"/>
        <rFont val="Times New Roman"/>
        <family val="1"/>
      </rPr>
      <t>Small amounts of PFC emissions also result from this source.</t>
    </r>
  </si>
  <si>
    <t>HFCs</t>
  </si>
  <si>
    <t>PFCs</t>
  </si>
  <si>
    <t>SF6</t>
  </si>
  <si>
    <t>NF3</t>
  </si>
  <si>
    <r>
      <rPr>
        <b/>
        <sz val="10"/>
        <rFont val="Tahoma"/>
        <family val="2"/>
      </rPr>
      <t>Table 2-2: Recent Trends in U.S. Greenhouse Gas Emissions and Sinks (kt)</t>
    </r>
  </si>
  <si>
    <t>2017 GHG Inventory, Emissions in kt</t>
  </si>
  <si>
    <t>2017 GHG Inventory, Emissions in MMT CO2e</t>
  </si>
  <si>
    <t xml:space="preserve">+ </t>
  </si>
  <si>
    <t>M</t>
  </si>
  <si>
    <t>+</t>
  </si>
  <si>
    <t>Calculated Exponential Log Values</t>
  </si>
  <si>
    <t>Need Exponential Calc?</t>
  </si>
  <si>
    <t>Exp</t>
  </si>
  <si>
    <t>Constant</t>
  </si>
  <si>
    <t>Sum of 2015</t>
  </si>
  <si>
    <t>Sum of 2016</t>
  </si>
  <si>
    <t>Sum of 2017</t>
  </si>
  <si>
    <t>Sum of 2018</t>
  </si>
  <si>
    <t>Sum of 2019</t>
  </si>
  <si>
    <t>Sum of 2020</t>
  </si>
  <si>
    <t>Sum of 2021</t>
  </si>
  <si>
    <t>Sum of 2022</t>
  </si>
  <si>
    <t>Sum of 2023</t>
  </si>
  <si>
    <t>Sum of 2024</t>
  </si>
  <si>
    <t>Sum of 2025</t>
  </si>
  <si>
    <t>Sum of 2026</t>
  </si>
  <si>
    <t>Sum of 2027</t>
  </si>
  <si>
    <t>Sum of 2028</t>
  </si>
  <si>
    <t>Sum of 2029</t>
  </si>
  <si>
    <t>Sum of 2030</t>
  </si>
  <si>
    <t>Sum of 2031</t>
  </si>
  <si>
    <t>Sum of 2032</t>
  </si>
  <si>
    <t>Sum of 2033</t>
  </si>
  <si>
    <t>Sum of 2034</t>
  </si>
  <si>
    <t>Sum of 2035</t>
  </si>
  <si>
    <t>Sum of 2036</t>
  </si>
  <si>
    <t>Sum of 2037</t>
  </si>
  <si>
    <t>Sum of 2038</t>
  </si>
  <si>
    <t>Sum of 2039</t>
  </si>
  <si>
    <t>Sum of 2040</t>
  </si>
  <si>
    <t>Sum of 2041</t>
  </si>
  <si>
    <t>Sum of 2042</t>
  </si>
  <si>
    <t>Sum of 2043</t>
  </si>
  <si>
    <t>Sum of 2044</t>
  </si>
  <si>
    <t>Sum of 2045</t>
  </si>
  <si>
    <t>Sum of 2046</t>
  </si>
  <si>
    <t>Sum of 2047</t>
  </si>
  <si>
    <t>Sum of 2048</t>
  </si>
  <si>
    <t>Sum of 2049</t>
  </si>
  <si>
    <t>Sum of 2050</t>
  </si>
  <si>
    <t xml:space="preserve">   CO2 emissions from other processes</t>
  </si>
  <si>
    <t xml:space="preserve">   CO2 process emissions</t>
  </si>
  <si>
    <t>CO2 emissions from other processes</t>
  </si>
  <si>
    <t>CH4 emissions from other processes</t>
  </si>
  <si>
    <t>CO2 from other processes</t>
  </si>
  <si>
    <t>N2O from other processes</t>
  </si>
  <si>
    <t>CH4 from other processes</t>
  </si>
  <si>
    <t>N2O emissions from other processes</t>
  </si>
  <si>
    <t>Waste management (no industrial wastewater treatment)</t>
  </si>
  <si>
    <t xml:space="preserve">   CH4 emissions from other processes</t>
  </si>
  <si>
    <t>Industrial Wastewater Projections</t>
  </si>
  <si>
    <t>Activity</t>
  </si>
  <si>
    <t>Industrial</t>
  </si>
  <si>
    <t xml:space="preserve">   CH4 from industrial wastewater processing</t>
  </si>
  <si>
    <t>EPA (2013) p. 1</t>
  </si>
  <si>
    <t>These industrial processes do not have source specific methodologies. For all processes future emissions were projected based on a linear extrpoloation of historical 1990-2015 trends for increasing emissions and through exponential extrapolation for decreasing trends, in accordance with the methdology from EPA (2013). The one exception is industrial wastewater treatment, which is calculated on the Waste - Water Treatment tab and uses a 5 year history for extrapolation.</t>
  </si>
  <si>
    <t>HCFC-22 Feedstock Production Assumptions and Emission Factor</t>
  </si>
  <si>
    <t>Page 41</t>
  </si>
  <si>
    <t>HCFC-22 Manufacturing</t>
  </si>
  <si>
    <t>Substitution of Ozone Depleting Substitutes</t>
  </si>
  <si>
    <t>EPA (2013) p. 38</t>
  </si>
  <si>
    <t>Aluminum Production</t>
  </si>
  <si>
    <t>Columbia Climate Center</t>
  </si>
  <si>
    <t>Mitigating Emissions from Alumnium</t>
  </si>
  <si>
    <t>http://climate.columbia.edu/files/2012/04/GNCS-Aluminum-Factsheet.pdf</t>
  </si>
  <si>
    <t>p.2 "Mitigation Options"</t>
  </si>
  <si>
    <t>50% Emissions Factor Reduction Target</t>
  </si>
  <si>
    <t>Inventory of U.S. Greenhouse Gas Emissions and Sinks: 1990-2015, 2017 Main Report Tables</t>
  </si>
  <si>
    <t>https://www.epa.gov/sites/production/files/2017-06/chapter_tables_2.zip</t>
  </si>
  <si>
    <t>Emissions are projected to be constant at 2015 levels based on the methodology in EPA (2013)</t>
  </si>
  <si>
    <t>EPA (2013) p. 40</t>
  </si>
  <si>
    <t>Emissions are calculated by estimating growth in semiconductor manucaturing and an improving emissions factor. Future semiconductor production was assumed to grow at 12% per year in 2012, declining to 5% per year in 2020 and maintaining this level in future years. New facilities are more efficient than old ones, but there is very little data available on semiconductor manufacturing and output from new and old facilities. Given data limitations, we assume new facilities are 15% more efficient than the average in 2015.</t>
  </si>
  <si>
    <t>EPA (2013) p. 46</t>
  </si>
  <si>
    <t>total miles</t>
  </si>
  <si>
    <t>https://energy.gov/sites/prod/files/2015/07/f24/ElectricityAppendix.pdf</t>
  </si>
  <si>
    <t>Total Miles</t>
  </si>
  <si>
    <t xml:space="preserve">   Partner Miles</t>
  </si>
  <si>
    <t xml:space="preserve">      Partners with &gt;10,000 miles</t>
  </si>
  <si>
    <t xml:space="preserve">      Partners with &lt;10,000 miles</t>
  </si>
  <si>
    <t xml:space="preserve">   Non Partner Miles</t>
  </si>
  <si>
    <t>https://www.epa.gov/sites/production/files/2016-02/documents/eps_rep_02.pdf</t>
  </si>
  <si>
    <t>EPA GHG Inventory</t>
  </si>
  <si>
    <t>Projected Growth in Transmission</t>
  </si>
  <si>
    <t>Partners with &gt;10,000 miles</t>
  </si>
  <si>
    <t>Partners with &lt;10,000 miles</t>
  </si>
  <si>
    <t>Non-partners with &gt;10,000 miles</t>
  </si>
  <si>
    <t>Non-partners with &lt;10,000 miles</t>
  </si>
  <si>
    <t xml:space="preserve">      Non-partners with &gt;10,000 miles</t>
  </si>
  <si>
    <t xml:space="preserve">      Non-partners with &lt;10,000 miles</t>
  </si>
  <si>
    <t>Breakdown of 2015 Transmission Miles</t>
  </si>
  <si>
    <t>Breakdown of 2015 Emissions</t>
  </si>
  <si>
    <t>Total Emissions (kt SF6)</t>
  </si>
  <si>
    <t xml:space="preserve">   Non Partner Emissions</t>
  </si>
  <si>
    <t>(kt SF6)</t>
  </si>
  <si>
    <t>(MMT CO2e)</t>
  </si>
  <si>
    <t>Transmission Mile Allocation</t>
  </si>
  <si>
    <t>Partners &gt;10,000 miles</t>
  </si>
  <si>
    <t>Partners &lt;10,000 miles</t>
  </si>
  <si>
    <t>Emissions are calculated by projecting future in growth in transmission miles and then multiplying growth by an emissions factor. Growth and emissions factors are calculated separately for EPA partner companies and non-partner companies and for companies with over 10,000 transmission miles and companies under. The data necessary to divide up companies is not readily available. Therefore, we used an average of partner to non-partner companies as a share of total transmission miles from EPA (2017) and EPA document from 2002 that has a breakdown of partner companies by transmission mileage. We assume the same ratio of companies with &gt;10,000 mileage for non-partner as with partner companies. We then use the growth and emissions factors for each sub-group as developed in EPA (2013) to forecast future emissions.</t>
  </si>
  <si>
    <t>EPA (2013) p. 50</t>
  </si>
  <si>
    <t>Share of Companies with Greater/Less than 10,000 Miles Transmission</t>
  </si>
  <si>
    <t>SF6 Emissions Reduction Partnership for Electric Power Systems</t>
  </si>
  <si>
    <t>Figure 3: Profile of Partner Utilities by Transmission Mileage</t>
  </si>
  <si>
    <t>Total High Voltage Transmission Mileage (&gt;34kV)</t>
  </si>
  <si>
    <t>US Department of Energy</t>
  </si>
  <si>
    <t>QER Report: Energy Transmission, Storage, and Distribution Infrastructure</t>
  </si>
  <si>
    <t>Appendix C, p.21</t>
  </si>
  <si>
    <t>2015 Emissions</t>
  </si>
  <si>
    <t>Table 4-102</t>
  </si>
  <si>
    <t>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emissions factors. Some animal types (e.g. horses) were assumed to have fixed emissions going forward based on past inventories.</t>
  </si>
  <si>
    <t>EPA (2013) p. 51</t>
  </si>
  <si>
    <t>US Department of Agriculture</t>
  </si>
  <si>
    <t>Tables 18, 19,  and 23</t>
  </si>
  <si>
    <t>Emissions Factors for Sheep, Goats, and Swine</t>
  </si>
  <si>
    <t>p. 53</t>
  </si>
  <si>
    <t>EPA (2013) p. 54</t>
  </si>
  <si>
    <t xml:space="preserve">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average emissions factors. </t>
  </si>
  <si>
    <t>Rice Cultivation</t>
  </si>
  <si>
    <t>Emissions are calculated based on production forecasts and average historical emissions factors. Future production is estimated using the USDA Agricultural Projections to 2026 and held fixed in later years. A five year average historical emissions factor is calculated and multiplied by future prodcution to estimate emissions.</t>
  </si>
  <si>
    <t>EPA (2013), equation 20</t>
  </si>
  <si>
    <t>CH4 emissions from landfilling of solid and industrial waste</t>
  </si>
  <si>
    <t>EPA (2013) equation 28, equation 32, and equation 33</t>
  </si>
  <si>
    <t>Domestic wastewater emissions are calculated separately for on-site septic systems, centrally treated aerobic and anaerobic systems, anaeorbic digesters, effluent discharge, central treatment systems/plants, industrial wastewater (which is grouped here with domestic wastewater)
On-site septic system emissions are calculated based on population projections, the share of total domestic wastewater treatement that is on-site, and an emissions factor.
EPA (2013) has a complex calculation for centrally treated aerobic and anaerobic systems. However, since the primary driver of treatment is the amount of BOD5 generated, other relevant input data were not expected to change, and per capita BOD5 generation rates are relatively stable, future emissions estimates are scaled based on population growth. Anaerboic digester emissions were also scaled based on population growth.
Emissions from effluent discharge are calculated based on population projections, the share of population served by biological denitrification, the percent of the US population using central treatment plants, per capita protein consumption, and the amount of nitrogen removed from sludge, in accordance with  the EPA (2013) methodology. Emissions from central treatment systems/plants are calculated similarly, but also take into account the factor fof industrial and commerical co-discharged protein into the sewer system and emissions factors for plants with and without biological denitrification.
Industrial wastewater emissions are calculated by linear extrapolation of the 1990-2015 emissions trend.</t>
  </si>
  <si>
    <t>Wastewater Treatment</t>
  </si>
  <si>
    <t>EPA (2013)  equation 27</t>
  </si>
  <si>
    <t>For MSW landfills, EIA (2013) uses a landfill emissions model with proprietary data to estimate future landfill emissions. Due to data limitations and time constraints, we estimate future landfill emissions based on extrapolation of the past five years of data.
Industrial landfill emissions are estimated by scaling historical emissions in the base year by projected growth in value of shipments from EIA AEO 2017 (no CPP) for the paper and food manufacturing industries, which are resposible for the vast majority of industrial landfilling. 
The share of industrial CH4 that is oxidized is assumed to remain constant, equal to 10% of industrial landfill emissions</t>
  </si>
  <si>
    <t>EPA (2013), equation 22 and 23 and rest of chapter</t>
  </si>
  <si>
    <t>Emissions are calculated sperately for five different soil management categories: fertilizer use, livestock production, crop production, other direct emissions, and indirect emissions. For fertilizer use, historical nitrogen application rates and emissions are held constant in future years. This differs from the EPA (2013) methodology, which linearly extrpolates a 10-year trend forward. However, the past 9 years of nitrogen application have been relatively constant, and applying a future trend based on a single high year seemed erroneous. 
For nitrogen from crop residues, emissions are calculated by scaling 2015 emissions based on projected future nitrogen crop residues using the methodolgy in EPA (2013) and crop paramaters from the 2006 IPCC Guidelines for National Greenhouse Gas Inventories. Crop production forecasts are based on the USDA Agricultural Projections to 2026 and extrpolation of a five year trend in later years. Production amounts and input paramaters for specific crops are used to project future N2O emissions. Due to limited data for upland cotton, assumptions were made for this crop type.
For livestock production, average region-specific livesetock excretion rates, weight, and populations were used to forecast base year and future year nitrogen deposition. Future emissions were estimated by scaling base year emissions by the change in forecasted nitrogen deosition to base year forecasted nitrogen deposition.
Emissions with no activity driver ("none") were held constant in future years while indirect emissions were scaled based on the total projected increase in direct emissions relative to the base year.</t>
  </si>
  <si>
    <r>
      <t xml:space="preserve">In general the methodology used here follows that of the US Environmental Protection Agency in </t>
    </r>
    <r>
      <rPr>
        <i/>
        <sz val="11"/>
        <color theme="1"/>
        <rFont val="Calibri"/>
        <family val="2"/>
        <scheme val="minor"/>
      </rPr>
      <t>Methodologies for U.S. Greenhouse Gas Emissions Projections: Non-CO2 and Non-Energy CO2 Sources</t>
    </r>
    <r>
      <rPr>
        <sz val="11"/>
        <color theme="1"/>
        <rFont val="Calibri"/>
        <family val="2"/>
        <scheme val="minor"/>
      </rPr>
      <t xml:space="preserve"> with a few exceptions. </t>
    </r>
  </si>
  <si>
    <t>Notes:</t>
  </si>
  <si>
    <t>p.7-30, 7-31, and Table 7-15</t>
  </si>
  <si>
    <t>Input Data for Effluent Discharge and Central Treatment Calculations</t>
  </si>
  <si>
    <t>Page 7-22</t>
  </si>
  <si>
    <t>Share of Domestic Wastewater Treated in Septic Systems</t>
  </si>
  <si>
    <t>Page 69</t>
  </si>
  <si>
    <t>Tables 10.19,  10A-4, 10A-5, 10A-7, 10A-9, 11.2</t>
  </si>
  <si>
    <t>http://www.ipcc-nggip.iges.or.jp/public/2006gl/</t>
  </si>
  <si>
    <t>2006 IPCC Guidelines for National Greenhouse Gas Inventories</t>
  </si>
  <si>
    <t>Intergovernmental Panel on Climate Change</t>
  </si>
  <si>
    <t>Emissions Factor for Septic Systems</t>
  </si>
  <si>
    <t>Crop Residue and Livestock Production Parameters</t>
  </si>
  <si>
    <t>Table 20</t>
  </si>
  <si>
    <t>Tables A-198 and A-201</t>
  </si>
  <si>
    <t>https://www.eia.gov/outlooks/aeo/excel/aeotab_20.xlsx</t>
  </si>
  <si>
    <t>Inventory of U.S. Greenhouse Gas Emissions and Sinks: 1990-2015, Appendix 3 Part B</t>
  </si>
  <si>
    <t>Population Projections</t>
  </si>
  <si>
    <t>Nitrogen Application</t>
  </si>
  <si>
    <t>Wastewater</t>
  </si>
  <si>
    <t>Soil Management</t>
  </si>
  <si>
    <t>Projected Crop Production and Animal Populations</t>
  </si>
  <si>
    <t>Table 3-21 (non energy use of fossil fuels); Table 4-60 (iron and steel); Table 4-58 (iron and steel: metallurgical coke); Table 4-62 (iron and steel); Table 3-30 (coal mining); Table 3-37 (petroleum systems): Table 3-39 (petroleum systems);  Table 2-1 (all emissions in CO2e); Table 2-2 (all emissions in kt); Table 5-7 (manure management); Table 5-4 (enteric fermentation); Table 4-79 (aluminum); Table 7-7 (wastewater)</t>
  </si>
  <si>
    <t>Specific methodologies and sources are listed in the table below. Global warming potentials are taken from the IPCC's Fifth Assessment Report.</t>
  </si>
  <si>
    <t>Table 3.6-10: CO2 Emissions (kt) for Natural Gas Systems, by Segment and Source, for All Years</t>
  </si>
  <si>
    <t>Drilling and Well Completions</t>
  </si>
  <si>
    <t>Gas Well Completions with Hydraulic Fracturing</t>
  </si>
  <si>
    <t>Condensate Tanks without Control Devices</t>
  </si>
  <si>
    <t>Condensate Tanks with Control Devices</t>
  </si>
  <si>
    <t>Well Workovers and Clean Ups</t>
  </si>
  <si>
    <t>Gas Well Workovers with Hydraulic Fracturing</t>
  </si>
  <si>
    <t>Flaring Emissions - Onshore</t>
  </si>
  <si>
    <t>Flaring Emissions - Offshore</t>
  </si>
  <si>
    <t xml:space="preserve">Processing </t>
  </si>
  <si>
    <t>Plants - Before CO2 removal</t>
  </si>
  <si>
    <t>Plants - After CO2 removal</t>
  </si>
  <si>
    <t>Recip. Compressors  - Before CO2 removal</t>
  </si>
  <si>
    <t>Recip. Compressors  - After CO2 removal</t>
  </si>
  <si>
    <t>Centr. Compressors (wet seals) - Before CO2 removal</t>
  </si>
  <si>
    <t>Centr. Compressors (wet seals) -After CO2 removal</t>
  </si>
  <si>
    <t>Centr. Compressors (dry seals) - Before CO2 removal</t>
  </si>
  <si>
    <t>Centr. Compressors (dry seals) -After CO2 removal</t>
  </si>
  <si>
    <t xml:space="preserve">    Kimray Pumps</t>
  </si>
  <si>
    <t xml:space="preserve">    Dehydrator Vents</t>
  </si>
  <si>
    <t>Transmission and Storage</t>
  </si>
  <si>
    <t xml:space="preserve">    Recip Compressor</t>
  </si>
  <si>
    <t xml:space="preserve">        Pneumatic Devices Trans</t>
  </si>
  <si>
    <t>Distribution</t>
  </si>
  <si>
    <t>CO2 emissions from natural gas systems</t>
  </si>
  <si>
    <t>Emissions are calculated separately for production, processing, transmission and storage, and distribution. For production and processing, potential emissions are scaled forward based on projected dry production from EIA AEO 2017 (no CPP) relative to the base year. For transmission and storage and distribution, potential emissions are scaled foreward based on projected consumption (distbribution emissions use sector specific consumption forecasts). Additionally, pipeline leaks in the distibution segment are forecast based on linear extrapoloation of historical pipeline miles and services. Voluntary and regulatory reductions are also projected in accordance with the methdology in EPA (2013).
CO2 emissions are estimated by projecting baseyear emissions by the growth in dry gas production from EIA AEO 2017 (no CPP).</t>
  </si>
  <si>
    <t>Other Process Uses of Carbonates</t>
  </si>
  <si>
    <t>Urea Fertilization</t>
  </si>
  <si>
    <t>Incineration of Waste</t>
  </si>
  <si>
    <t>Liming</t>
  </si>
  <si>
    <t>Ferroalloy Production</t>
  </si>
  <si>
    <t>Glass Production</t>
  </si>
  <si>
    <r>
      <rPr>
        <sz val="11"/>
        <rFont val="Calibri"/>
        <family val="2"/>
        <scheme val="minor"/>
      </rPr>
      <t>Urea Consumption for Non- Agricultural Purposes</t>
    </r>
  </si>
  <si>
    <r>
      <rPr>
        <sz val="11"/>
        <rFont val="Calibri"/>
        <family val="2"/>
        <scheme val="minor"/>
      </rPr>
      <t>Silicon Carbide Production and Consumption</t>
    </r>
  </si>
  <si>
    <t xml:space="preserve">   N2O emissions from other processes</t>
  </si>
  <si>
    <t>Other industries, CH4</t>
  </si>
  <si>
    <t>AR5 20-Year GWP</t>
  </si>
  <si>
    <t>AR5 100-Year GWP</t>
  </si>
  <si>
    <t>EPA 100-Year GWP</t>
  </si>
  <si>
    <t>CH4 (kt CH4)</t>
  </si>
  <si>
    <r>
      <rPr>
        <sz val="11"/>
        <rFont val="Calibri"/>
        <family val="2"/>
        <scheme val="minor"/>
      </rPr>
      <t>N₂O from Product Uses</t>
    </r>
  </si>
  <si>
    <t xml:space="preserve">   CH4 from other processes</t>
  </si>
  <si>
    <t>Exclude</t>
  </si>
  <si>
    <t>BAU</t>
  </si>
  <si>
    <t>US EPA Projected HFC Emissions</t>
  </si>
  <si>
    <t>Annualized Emissions</t>
  </si>
  <si>
    <t>SNAP</t>
  </si>
  <si>
    <t>SNAP - Most Likely Scenario</t>
  </si>
  <si>
    <t>Climate Benefits of the SNAP Program Status Rule Change</t>
  </si>
  <si>
    <t>https://www.regulations.gov/contentStreamer?documentId=EPA-HQ-OAR-2015-0663-0019&amp;contentType=pdf</t>
  </si>
  <si>
    <t>Table 2. Emissions Profile of Affected Sectors/Applications in Transition Scenarios and Baseline</t>
  </si>
  <si>
    <t>ref2018.d121317a</t>
  </si>
  <si>
    <t>Annual Energy Outlook 2018</t>
  </si>
  <si>
    <t>ref2018</t>
  </si>
  <si>
    <t>d121317a</t>
  </si>
  <si>
    <t xml:space="preserve"> February 2018</t>
  </si>
  <si>
    <t>2017-</t>
  </si>
  <si>
    <t xml:space="preserve">   Source:  2016 and 2017:  IHS Markit, Macroeconomic  and Employment models, August 2017;</t>
  </si>
  <si>
    <t>and IHS Markit Industry model, May 2017.  Projections:  U.S. Energy Information Administration,</t>
  </si>
  <si>
    <t>AEO2018 National Energy Modeling System run ref2018.d121317a.</t>
  </si>
  <si>
    <t xml:space="preserve">  Computing</t>
  </si>
  <si>
    <t xml:space="preserve">  Office Equipment</t>
  </si>
  <si>
    <t xml:space="preserve">  Pipeline and Distribution Fuel</t>
  </si>
  <si>
    <t xml:space="preserve">   4/ Includes small electric devices, heating elements, outdoor grills, natural gas-fueled lights, pool heaters, spa heaters, backup electricity</t>
  </si>
  <si>
    <t xml:space="preserve">   Note:  Totals may not equal sum of components due to independent rounding.  Data for 2016</t>
  </si>
  <si>
    <t xml:space="preserve">   Sources:  2016 emissions and emission factors:  EIA, Monthly Energy Review, September 2017.</t>
  </si>
  <si>
    <t>2017:  EIA, Short-Term Energy Outlook, October 2017 and EIA, AEO2018 National Energy Modeling System run ref2018.d121317a.</t>
  </si>
  <si>
    <t>Projections:  EIA, AEO2018 National Energy Modeling System run ref2018.d121317a.</t>
  </si>
  <si>
    <t>RCP000</t>
  </si>
  <si>
    <t>67. Coal Production by Region and Type</t>
  </si>
  <si>
    <t>(million short tons)</t>
  </si>
  <si>
    <t xml:space="preserve"> Supply Regions and Coal Types</t>
  </si>
  <si>
    <t>RCP000:ba_NorthernAppal</t>
  </si>
  <si>
    <t>Northern Appalachia 1/</t>
  </si>
  <si>
    <t>RCP000:ba_MediumSulfur(</t>
  </si>
  <si>
    <t xml:space="preserve">  Medium Sulfur (Premium) 2/</t>
  </si>
  <si>
    <t>RCP000:ca_MediumSulfur(</t>
  </si>
  <si>
    <t xml:space="preserve">  Medium Sulfur (Bituminous)</t>
  </si>
  <si>
    <t>RCP000:ca_HighSulfur(Bi</t>
  </si>
  <si>
    <t xml:space="preserve">  High Sulfur (Bituminous)</t>
  </si>
  <si>
    <t>RCP000:da_CentralAppala</t>
  </si>
  <si>
    <t>RCP000:da_MediumSulfur(</t>
  </si>
  <si>
    <t>RCP000:da_LowSulfur(Bit</t>
  </si>
  <si>
    <t xml:space="preserve">  Low Sulfur (Bituminous)</t>
  </si>
  <si>
    <t>RCP000:ea_MediumSulfur(</t>
  </si>
  <si>
    <t>RCP000:fa_SouthernAppal</t>
  </si>
  <si>
    <t>RCP000:fa_LowSulfur(Pre</t>
  </si>
  <si>
    <t xml:space="preserve">  Low Sulfur (Premium) 2/</t>
  </si>
  <si>
    <t>RCP000:fa_LowSulfur(Bit</t>
  </si>
  <si>
    <t>RCP000:fa_MediumSulfur(</t>
  </si>
  <si>
    <t>RCP000:ga_EasternInteri</t>
  </si>
  <si>
    <t>RCP000:ga_MediumSulfur(</t>
  </si>
  <si>
    <t>RCP000:ga_HighSulfur(Bi</t>
  </si>
  <si>
    <t>RCP000:ha_MediumSulfur(</t>
  </si>
  <si>
    <t xml:space="preserve">  Medium Sulfur (Lignite)</t>
  </si>
  <si>
    <t>RCP000:ia_WesternInteri</t>
  </si>
  <si>
    <t>RCP000:ja_Gulf</t>
  </si>
  <si>
    <t>RCP000:ja_MediumSulfur(</t>
  </si>
  <si>
    <t>RCP000:ja_HighSulfur(Li</t>
  </si>
  <si>
    <t xml:space="preserve">  High Sulfur (Lignite)</t>
  </si>
  <si>
    <t>RCP000:ka_DakotaMediumS</t>
  </si>
  <si>
    <t>RCP000:la_WesternMontan</t>
  </si>
  <si>
    <t>RCP000:la_WestM_low_bit</t>
  </si>
  <si>
    <t>RCP000:la_LowSulfur(Sub</t>
  </si>
  <si>
    <t xml:space="preserve">  Low Sulfur (Sub-Bituminous)</t>
  </si>
  <si>
    <t>RCP000:la_MediumSulfur(</t>
  </si>
  <si>
    <t xml:space="preserve">  Medium Sulfur (Sub-Bituminous)</t>
  </si>
  <si>
    <t>RCP000:ma_Wyoming,Powde</t>
  </si>
  <si>
    <t>Wyoming, Powder River Basin</t>
  </si>
  <si>
    <t>RCP000:ma_LowSulfur(Sub</t>
  </si>
  <si>
    <t>RCP000:ma_MediumSulfur(</t>
  </si>
  <si>
    <t>RCP000:na_WesternWyomin</t>
  </si>
  <si>
    <t>RCP000:na_LowSulfur(Sub</t>
  </si>
  <si>
    <t>RCP000:na_MediumSulfur(</t>
  </si>
  <si>
    <t>RCP000:oa_RockyMountain</t>
  </si>
  <si>
    <t>RCP000:RM_LowSulfur(Pre</t>
  </si>
  <si>
    <t>RCP000:oa_LowSulfur(Bit</t>
  </si>
  <si>
    <t>RCP000:oa_LowSulfur(Sub</t>
  </si>
  <si>
    <t>RCP000:pa_Arizona/NewMe</t>
  </si>
  <si>
    <t>RCP000:pa_LowSulfur(Bit</t>
  </si>
  <si>
    <t>RCP000:pa_MediumSulfur(</t>
  </si>
  <si>
    <t>RCP000:qa_MediumSulfur(</t>
  </si>
  <si>
    <t>RCP000:ra_MediumSulfur(</t>
  </si>
  <si>
    <t>RCP000:ta_PremiumMetall</t>
  </si>
  <si>
    <t xml:space="preserve">  Premium Metallurgical 2/</t>
  </si>
  <si>
    <t>RCP000:ta_Bituminous</t>
  </si>
  <si>
    <t xml:space="preserve">  Bituminous</t>
  </si>
  <si>
    <t>RCP000:ta_Sub-Bituminou</t>
  </si>
  <si>
    <t xml:space="preserve">  Sub-Bituminous</t>
  </si>
  <si>
    <t>RCP000:ta_Lignite</t>
  </si>
  <si>
    <t xml:space="preserve">  Lignite</t>
  </si>
  <si>
    <t>RCP000:ua_LowSulfur</t>
  </si>
  <si>
    <t xml:space="preserve">  Low Sulfur</t>
  </si>
  <si>
    <t>RCP000:ua_MediumSulfur</t>
  </si>
  <si>
    <t xml:space="preserve">  Medium Sulfur</t>
  </si>
  <si>
    <t>RCP000:ua_HighSulfur</t>
  </si>
  <si>
    <t xml:space="preserve">  High Sulfur</t>
  </si>
  <si>
    <t>RCP000:va_Underground</t>
  </si>
  <si>
    <t xml:space="preserve">  Underground</t>
  </si>
  <si>
    <t>RCP000:va_Surface</t>
  </si>
  <si>
    <t xml:space="preserve">  Surface</t>
  </si>
  <si>
    <t>RCP000:wa_UnitedStatesT</t>
  </si>
  <si>
    <t>RCP000:wa_WasteCoal</t>
  </si>
  <si>
    <t xml:space="preserve">   1/ Includes Pennsylvania anthracite.</t>
  </si>
  <si>
    <t xml:space="preserve">   2/ "Premium" coal is used to make metallurgical coke.</t>
  </si>
  <si>
    <t xml:space="preserve">   Northern Appalachia:  Pennsylvania, Maryland, Ohio, Northern West Virginia.</t>
  </si>
  <si>
    <t xml:space="preserve">   Central Appalachia:  Southern West Virginia, Virginia, Eastern Kentucky, Northern Tennessee.</t>
  </si>
  <si>
    <t xml:space="preserve">   Southern Appalachia:  Alabama, Southern Tennessee.</t>
  </si>
  <si>
    <t xml:space="preserve">   Eastern Interior:  Illinois, Indiana, Mississippi, Western Kentucky.</t>
  </si>
  <si>
    <t xml:space="preserve">   Western Interior:  Iowa, Missouri, Kansas, Oklahoma, Arkansas, Texas (bituminous).</t>
  </si>
  <si>
    <t xml:space="preserve">   Gulf (lignite Only):  Texas, Louisiana, Arkansas.</t>
  </si>
  <si>
    <t xml:space="preserve">   Dakota:  North Dakota, Montana (lignite).</t>
  </si>
  <si>
    <t xml:space="preserve">   Western Montana:  Montana (bituminous and subbituminous).</t>
  </si>
  <si>
    <t xml:space="preserve">   Wyoming, Powder River Basin:  Wyoming portion of Powder River Basin.</t>
  </si>
  <si>
    <t xml:space="preserve">   Western Wyoming:  Wyoming other than Powder River Basin.</t>
  </si>
  <si>
    <t xml:space="preserve">   Rocky Mountain:  Colorado, Utah.</t>
  </si>
  <si>
    <t xml:space="preserve">   Sulfur Definitions:</t>
  </si>
  <si>
    <t xml:space="preserve">   Low Sulfur:     0 - 0.60 pounds of sulfur per million British thermal unit.</t>
  </si>
  <si>
    <t xml:space="preserve">   Medium Sulfur:  0.61 - 1.67 pounds of sulfur per million British thermal unit.</t>
  </si>
  <si>
    <t xml:space="preserve">   High Sulfur:    Over 1.67 pounds of sulfur per million British thermal unit.</t>
  </si>
  <si>
    <t xml:space="preserve">   Note:  Totals may not equal sum of components due to independent rounding.  National total includes an adjustment for stocks</t>
  </si>
  <si>
    <t>not included in the regional values.</t>
  </si>
  <si>
    <t xml:space="preserve">   Source:  U.S. Energy Information Administration, AEO2018 National Energy Modeling System run ref2018.d121317a.</t>
  </si>
  <si>
    <t>Table 67</t>
  </si>
  <si>
    <t>https://www.eia.gov/outlooks/aeo/excel/nocpp/aeotab_67.xlsx</t>
  </si>
  <si>
    <t xml:space="preserve">     Other Industrial 4/</t>
  </si>
  <si>
    <t xml:space="preserve">     Lease and Plant Fuel 5/</t>
  </si>
  <si>
    <t xml:space="preserve">     Fuel Used to Liquefy Gas for Export 6/</t>
  </si>
  <si>
    <t xml:space="preserve">     Natural Gas-to-Liquids Heat and Power 7/</t>
  </si>
  <si>
    <t xml:space="preserve">     Natural Gas to Liquids Production 8/</t>
  </si>
  <si>
    <t xml:space="preserve">   Transportation</t>
  </si>
  <si>
    <t xml:space="preserve">     Motor Vehicles, Trains, and Ships</t>
  </si>
  <si>
    <t xml:space="preserve">     Pipeline and Distribution Fuel</t>
  </si>
  <si>
    <t xml:space="preserve">   Electric Power 9/</t>
  </si>
  <si>
    <t xml:space="preserve"> Discrepancy 10/</t>
  </si>
  <si>
    <t xml:space="preserve">  (2017 dollars per million Btu)</t>
  </si>
  <si>
    <t xml:space="preserve">  (2017 dollars per thousand cubic feet)</t>
  </si>
  <si>
    <t xml:space="preserve">     Industrial 11/</t>
  </si>
  <si>
    <t xml:space="preserve">   5/ Represents natural gas used in well, field, and lease operations, and in natural gas processing plant machinery.</t>
  </si>
  <si>
    <t xml:space="preserve">   6/ Fuel used in facilities that liquefy natural gas for export.</t>
  </si>
  <si>
    <t xml:space="preserve">   7/ Includes any natural gas used in the process of converting natural gas to liquid fuel that is not actually converted.</t>
  </si>
  <si>
    <t xml:space="preserve">   8/ Includes any natural gas converted into liquid fuel.</t>
  </si>
  <si>
    <t xml:space="preserve">   9/ Includes consumption of energy by electricity-only and combined heat and power plants that have a regulatory status.</t>
  </si>
  <si>
    <t xml:space="preserve">   10/ Balancing item. Natural gas lost as a result of converting flow data measured at varying temperatures and pressures to a</t>
  </si>
  <si>
    <t>respondent type.  In addition, 2016 values include net storage injections.</t>
  </si>
  <si>
    <t xml:space="preserve">   11/ Excludes use for lease and plant fuel and fuel used for liquefaction in export facilities.</t>
  </si>
  <si>
    <t xml:space="preserve">   13/ Weighted average prices.  Weights used are the sectoral consumption values excluding lease, plant,  pipeline and</t>
  </si>
  <si>
    <t>distribution fuel, and fuel used for liquefaction in export facilities.</t>
  </si>
  <si>
    <t xml:space="preserve">   Sources:  2016 supply values; lease, plant, and pipeline fuel consumption; and residential and commercial</t>
  </si>
  <si>
    <t>delivered prices:  U.S. Energy Information Administration (EIA), Natural Gas Annual 2016.  2016 industrial</t>
  </si>
  <si>
    <t>delivered prices derived from:  EIA, Manufacturing Energy Consumption Survey, 2002-2014.  Other 2016</t>
  </si>
  <si>
    <t>consumption based on:  EIA, Monthly Energy Review, September 2017.  2016 natural gas spot price at Henry Hub:  Thomson</t>
  </si>
  <si>
    <t>Reuters.  2016 electric power prices derived from:  EIA, Electric Power Monthly, July 2017, Table 4.13.B.</t>
  </si>
  <si>
    <t>2016 transportation sector delivered prices derived from:  U.S. Department of Energy, Clean Cities Alternative</t>
  </si>
  <si>
    <t>Fuel Price Report.  2017:  EIA, Short-Term Energy Outlook, October 2017 and EIA, AEO2018 National Energy Modeling</t>
  </si>
  <si>
    <t>System run ref2018.d121317a.  Projections:  EIA, AEO2018 National Energy Modeling System run ref2018.d121317a.</t>
  </si>
  <si>
    <t xml:space="preserve">   Liquefied Natural Gas Imports</t>
  </si>
  <si>
    <t xml:space="preserve">   Liquefied Natural Gas Exports</t>
  </si>
  <si>
    <t xml:space="preserve">   Sources:  2016:  U.S. Energy Information Administration (EIA), Natural Gas Annual 2016 and EIA, Office of Energy</t>
  </si>
  <si>
    <t>Analysis.  2017:  EIA, Short-Term Energy Outlook, October 2017 and EIA, AEO2018 National Energy Modeling System</t>
  </si>
  <si>
    <t>run ref2018.d121317a.  Projections:  EIA, AEO2018 National Energy Modeling System run ref2018.d121317a.</t>
  </si>
  <si>
    <t>5 Year Average</t>
  </si>
  <si>
    <t>Table 3-37:  CH4 Emissions from Petroleum Systems (kt)</t>
  </si>
  <si>
    <t>Explorationa</t>
  </si>
  <si>
    <t xml:space="preserve">Production (Total) </t>
  </si>
  <si>
    <t xml:space="preserve">Pneumatic controller venting </t>
  </si>
  <si>
    <t>Offshore platforms</t>
  </si>
  <si>
    <t>Associated gas venting and flaring</t>
  </si>
  <si>
    <t>Tanks</t>
  </si>
  <si>
    <t>Chemical injection pumps</t>
  </si>
  <si>
    <t xml:space="preserve">Other Sources </t>
  </si>
  <si>
    <t>Crude Oil Transportation</t>
  </si>
  <si>
    <t xml:space="preserve">Total </t>
  </si>
  <si>
    <t>a Exploration includes well drilling, testing, and completions.</t>
  </si>
  <si>
    <t>Table 3-39:  CO2 Emissions from Petroleum Systems (kt)</t>
  </si>
  <si>
    <t>Exploration</t>
  </si>
  <si>
    <t xml:space="preserve">Production </t>
  </si>
  <si>
    <t xml:space="preserve">Total  </t>
  </si>
  <si>
    <t>Note: Totals may not sum due to independent rounding.</t>
  </si>
  <si>
    <t>NE (Not Estimated)</t>
  </si>
  <si>
    <t>EPA (2016)</t>
  </si>
  <si>
    <t>Emissions forecast taken from EPA under SNAP scenarios. In 2018, snap was vacated by a US court and remanded to EPA for revision. Therefore, we take the BAU case and do not assume implementaiton of SNAP in the BAU for the EPS.</t>
  </si>
  <si>
    <t>Table 2-2:  Recent Trends in U.S. Greenhouse Gas Emissions and Sinks (kt)</t>
  </si>
  <si>
    <t>Gas/Source</t>
  </si>
  <si>
    <t>Fossil Fuel Combustion</t>
  </si>
  <si>
    <t>Electric Power</t>
  </si>
  <si>
    <t>U.S. Territories</t>
  </si>
  <si>
    <t>Non-Energy Use of Fuels</t>
  </si>
  <si>
    <t>Iron and Steel Production &amp; Metallurgical Coke Production</t>
  </si>
  <si>
    <t>Cement Production</t>
  </si>
  <si>
    <t>Soda Ash Production</t>
  </si>
  <si>
    <t>Silicon Carbide Production and Consumption</t>
  </si>
  <si>
    <t>Abandoned Oil and Gas Wells</t>
  </si>
  <si>
    <t>Wood Biomass, Ethanol, and Biodiesel Consumptiona</t>
  </si>
  <si>
    <t>International Bunker Fuelsb</t>
  </si>
  <si>
    <t>CH4c</t>
  </si>
  <si>
    <t>Stationary Combustion</t>
  </si>
  <si>
    <t>Mobile Combustion</t>
  </si>
  <si>
    <t>N2Oc</t>
  </si>
  <si>
    <t>Adipic Acid Production</t>
  </si>
  <si>
    <t>N2O from Product Uses</t>
  </si>
  <si>
    <t>Caprolactam, Glyoxal, and Glyoxylic Acid Production</t>
  </si>
  <si>
    <t>Semiconductor Manufacture</t>
  </si>
  <si>
    <t>Substitution of Ozone Depleting Substancesd</t>
  </si>
  <si>
    <t>Substitution of Ozone Depleting Substances</t>
  </si>
  <si>
    <t>Table ES-2:  Recent Trends in U.S. Greenhouse Gas Emissions and Sinks (MMT CO2 Eq.)</t>
  </si>
  <si>
    <t>Electric Power Sector</t>
  </si>
  <si>
    <t>LULUCF Emissionsc</t>
  </si>
  <si>
    <t>LULUCF CH4 Emissions</t>
  </si>
  <si>
    <t>LULUCF N2O Emissions</t>
  </si>
  <si>
    <t>LULUCF Carbon Stock Changee</t>
  </si>
  <si>
    <t>LULUCF Sector Net Totalf</t>
  </si>
  <si>
    <t>Net Emissions (Sources and Sinks)</t>
  </si>
  <si>
    <t>Emissions are projected based on an assumption of constant future production from 2016 values and 5 year average emissions factors. The PFC emissions factor is assumed to decline by 50% relative to 2006 levels based on an international voluntary agreement, after which the emissions factor is held constant.</t>
  </si>
  <si>
    <t>Manufacturing Output Growth Relative to 2016</t>
  </si>
  <si>
    <t>Swine*</t>
  </si>
  <si>
    <t>USDA Agricultural Projections to 2027</t>
  </si>
  <si>
    <t>https://www.usda.gov/oce/commodity/projections/USDA_Agricultural_Projections_to_2027.pdf</t>
  </si>
  <si>
    <t>Beef Cattle*</t>
  </si>
  <si>
    <t>Historical Animal Populations</t>
  </si>
  <si>
    <t>Meat Animals, Production, Disposition, and Annual Summary</t>
  </si>
  <si>
    <t>https://usda.library.cornell.edu/concern/publications/02870v85d?locale=en</t>
  </si>
  <si>
    <t>&lt;data retained from earlier report as new GHG inventory does not estimate these emissions</t>
  </si>
  <si>
    <t xml:space="preserve">  Real Business Fixed Investment</t>
  </si>
  <si>
    <t>2018 GHG Inventory, Emissions in kt</t>
  </si>
  <si>
    <t>2018 GHG Inventory, Emissions in MMT CO2e</t>
  </si>
  <si>
    <t>Inventory of U.S. Greenhouse Gas Emissions and Sinks: 1990-2016, 2018 Main Report Tables</t>
  </si>
  <si>
    <t>https://www.epa.gov/ghgemissions/inventory-us-greenhouse-gas-emissions-and-sinks-1990-2016</t>
  </si>
  <si>
    <t>Table 23</t>
  </si>
  <si>
    <t>Table 13</t>
  </si>
  <si>
    <t>Table 62</t>
  </si>
  <si>
    <t>https://www.eia.gov/outlooks/aeo/excel/aeotab_13.xlsx</t>
  </si>
  <si>
    <t>NA</t>
  </si>
  <si>
    <t xml:space="preserve">   Natural Gas to Liquefy Gas for Export 5/</t>
  </si>
  <si>
    <t>Data for 2016 are model results and may differ from official EIA data reports.</t>
  </si>
  <si>
    <t xml:space="preserve">   Sources:  2016 prices for motor gasoline and distillate fuel oil are based on:  U.S. Energy Information</t>
  </si>
  <si>
    <t>Administration (EIA), Petroleum Marketing Monthly, October 2017.  2016 petrochemical feedstock and asphalt and</t>
  </si>
  <si>
    <t>road oil prices are based on:  EIA, State Energy Data System 2015.  2016 coal prices are based on:  EIA,</t>
  </si>
  <si>
    <t>Quarterly Coal Report, October-December 2016, and EIA, AEO2018 National Energy Modeling System run ref2018.d121317a.</t>
  </si>
  <si>
    <t>2016 electricity prices:  Monthly Energy Review, September 2017.  2016 natural gas</t>
  </si>
  <si>
    <t>prices:  EIA, Natural Gas Monthly, July 2017.  2016 refining consumption based on:  Petroleum Supply</t>
  </si>
  <si>
    <t>Annual 2016, and EIA, Refinery Capacity Report, June 2017.  Other 2016 consumption values are based</t>
  </si>
  <si>
    <t>on:  EIA, Monthly Energy Review, September 2017.  2016 shipments:  IHS Markit, Industry model, May 2017.</t>
  </si>
  <si>
    <t>PSD000:total_gross_imp</t>
  </si>
  <si>
    <t>Total Gross Imports</t>
  </si>
  <si>
    <t>PSD000:total_gross_exp</t>
  </si>
  <si>
    <t>Total Gross Exports</t>
  </si>
  <si>
    <t>PSD000:total_net_import</t>
  </si>
  <si>
    <t>Total Net Imports</t>
  </si>
  <si>
    <t xml:space="preserve"> Petroleum Products (billion 2017 dollars)</t>
  </si>
  <si>
    <t xml:space="preserve">   Sources:  2016 product supplied based on:  U.S. Energy Information Administration (EIA), Monthly Energy</t>
  </si>
  <si>
    <t>Review, September 2017.  Other 2016 data:  EIA, Petroleum Supply Annual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</si>
</sst>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0.0"/>
    <numFmt numFmtId="166" formatCode="###0.0;###0.0"/>
    <numFmt numFmtId="167" formatCode="###0.00;###0.00"/>
    <numFmt numFmtId="168" formatCode="#,##0;#,##0"/>
    <numFmt numFmtId="169" formatCode="###0;###0"/>
    <numFmt numFmtId="170" formatCode="###0_);\(###0\)"/>
    <numFmt numFmtId="171" formatCode="#,##0.0"/>
    <numFmt numFmtId="172" formatCode="0.0"/>
    <numFmt numFmtId="173" formatCode="0.000"/>
    <numFmt numFmtId="174" formatCode="#,##0.000"/>
    <numFmt numFmtId="175" formatCode="0.0000"/>
    <numFmt numFmtId="176" formatCode="0.000E+00"/>
  </numFmts>
  <fonts count="51" x14ac:knownFonts="1">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b/>
      <sz val="9"/>
      <name val="Times New Roman"/>
      <family val="1"/>
    </font>
    <font>
      <b/>
      <sz val="6"/>
      <name val="Times New Roman"/>
      <family val="1"/>
    </font>
    <font>
      <b/>
      <sz val="9"/>
      <color rgb="FF000000"/>
      <name val="Times New Roman"/>
      <family val="2"/>
    </font>
    <font>
      <sz val="9"/>
      <name val="Times New Roman"/>
      <family val="1"/>
    </font>
    <font>
      <sz val="9"/>
      <color rgb="FF000000"/>
      <name val="Times New Roman"/>
      <family val="2"/>
    </font>
    <font>
      <sz val="6"/>
      <name val="Times New Roman"/>
      <family val="1"/>
    </font>
    <font>
      <b/>
      <sz val="10"/>
      <name val="Tahoma"/>
      <family val="2"/>
    </font>
    <font>
      <b/>
      <sz val="7"/>
      <name val="Tahoma"/>
      <family val="2"/>
    </font>
    <font>
      <sz val="11"/>
      <color theme="1"/>
      <name val="Calibri"/>
      <family val="2"/>
      <scheme val="minor"/>
    </font>
    <font>
      <i/>
      <sz val="11"/>
      <color theme="1"/>
      <name val="Calibri"/>
      <family val="2"/>
      <scheme val="minor"/>
    </font>
    <font>
      <sz val="10"/>
      <name val="Arial"/>
      <family val="2"/>
    </font>
    <font>
      <sz val="11"/>
      <color rgb="FFFF0000"/>
      <name val="Calibri"/>
      <family val="2"/>
      <scheme val="minor"/>
    </font>
    <font>
      <sz val="11"/>
      <name val="Calibri"/>
      <family val="2"/>
      <scheme val="minor"/>
    </font>
    <font>
      <sz val="12"/>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name val="Calibri"/>
      <family val="2"/>
    </font>
    <font>
      <sz val="11"/>
      <name val="Calibri"/>
      <family val="2"/>
    </font>
    <font>
      <u/>
      <sz val="11"/>
      <color theme="1"/>
      <name val="Calibri"/>
      <family val="2"/>
      <scheme val="minor"/>
    </font>
    <font>
      <b/>
      <sz val="10"/>
      <name val="Tahoma"/>
      <family val="2"/>
    </font>
    <font>
      <b/>
      <sz val="9"/>
      <name val="Times New Roman"/>
      <family val="1"/>
    </font>
    <font>
      <sz val="9"/>
      <name val="Times New Roman"/>
      <family val="1"/>
    </font>
    <font>
      <u/>
      <sz val="10"/>
      <color indexed="12"/>
      <name val="Arial"/>
      <family val="2"/>
    </font>
    <font>
      <b/>
      <sz val="10"/>
      <name val="Calibri"/>
      <family val="2"/>
      <scheme val="minor"/>
    </font>
    <font>
      <sz val="9"/>
      <name val="Calibri"/>
      <family val="2"/>
      <scheme val="minor"/>
    </font>
    <font>
      <b/>
      <sz val="12"/>
      <color theme="0"/>
      <name val="Calibri"/>
      <family val="2"/>
      <scheme val="minor"/>
    </font>
    <font>
      <sz val="10"/>
      <name val="Calibri"/>
      <family val="2"/>
      <scheme val="minor"/>
    </font>
    <font>
      <b/>
      <u/>
      <sz val="10"/>
      <name val="Calibri"/>
      <family val="2"/>
      <scheme val="minor"/>
    </font>
    <font>
      <b/>
      <sz val="9"/>
      <color theme="0"/>
      <name val="Calibri"/>
      <family val="2"/>
      <scheme val="minor"/>
    </font>
    <font>
      <b/>
      <sz val="9"/>
      <name val="Calibri"/>
      <family val="2"/>
      <scheme val="minor"/>
    </font>
    <font>
      <b/>
      <i/>
      <sz val="9"/>
      <name val="Calibri"/>
      <family val="2"/>
      <scheme val="minor"/>
    </font>
    <font>
      <i/>
      <sz val="9"/>
      <name val="Calibri"/>
      <family val="2"/>
      <scheme val="minor"/>
    </font>
    <font>
      <sz val="10"/>
      <color rgb="FFFF0000"/>
      <name val="Arial"/>
      <family val="2"/>
    </font>
    <font>
      <b/>
      <sz val="11"/>
      <name val="Calibri"/>
      <family val="2"/>
      <scheme val="minor"/>
    </font>
    <font>
      <b/>
      <sz val="6"/>
      <name val="Cambria Math"/>
      <family val="1"/>
    </font>
    <font>
      <i/>
      <sz val="9"/>
      <name val="Times New Roman"/>
      <family val="1"/>
    </font>
    <font>
      <i/>
      <sz val="6"/>
      <name val="Times New Roman"/>
      <family val="1"/>
    </font>
    <font>
      <sz val="6"/>
      <name val="Cambria Math"/>
      <family val="1"/>
    </font>
    <font>
      <b/>
      <sz val="10"/>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C0C0C0"/>
      </patternFill>
    </fill>
    <fill>
      <patternFill patternType="solid">
        <fgColor rgb="FFBEBEBE"/>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9"/>
        <bgColor indexed="64"/>
      </patternFill>
    </fill>
  </fills>
  <borders count="3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BEBEBE"/>
      </right>
      <top style="thin">
        <color rgb="FF000000"/>
      </top>
      <bottom style="thin">
        <color rgb="FF000000"/>
      </bottom>
      <diagonal/>
    </border>
    <border>
      <left style="thin">
        <color rgb="FFBEBEBE"/>
      </left>
      <right/>
      <top style="thin">
        <color rgb="FF000000"/>
      </top>
      <bottom style="thin">
        <color rgb="FF000000"/>
      </bottom>
      <diagonal/>
    </border>
    <border>
      <left/>
      <right style="thin">
        <color rgb="FFBEBEBE"/>
      </right>
      <top style="thin">
        <color rgb="FF000000"/>
      </top>
      <bottom/>
      <diagonal/>
    </border>
    <border>
      <left style="thin">
        <color rgb="FFBEBEBE"/>
      </left>
      <right/>
      <top style="thin">
        <color rgb="FF000000"/>
      </top>
      <bottom/>
      <diagonal/>
    </border>
    <border>
      <left/>
      <right style="thin">
        <color rgb="FFBEBEBE"/>
      </right>
      <top/>
      <bottom/>
      <diagonal/>
    </border>
    <border>
      <left style="thin">
        <color rgb="FFBEBEBE"/>
      </left>
      <right/>
      <top/>
      <bottom/>
      <diagonal/>
    </border>
    <border>
      <left/>
      <right style="thin">
        <color rgb="FFBEBEBE"/>
      </right>
      <top/>
      <bottom style="thin">
        <color rgb="FF000000"/>
      </bottom>
      <diagonal/>
    </border>
    <border>
      <left style="thin">
        <color rgb="FFBEBEBE"/>
      </left>
      <right/>
      <top/>
      <bottom style="thin">
        <color rgb="FF000000"/>
      </bottom>
      <diagonal/>
    </border>
    <border>
      <left/>
      <right style="thin">
        <color rgb="FFC0C0C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diagonal/>
    </border>
    <border>
      <left style="thin">
        <color rgb="FFC0C0C0"/>
      </left>
      <right/>
      <top style="thin">
        <color rgb="FF000000"/>
      </top>
      <bottom/>
      <diagonal/>
    </border>
    <border>
      <left/>
      <right style="thin">
        <color rgb="FFC0C0C0"/>
      </right>
      <top/>
      <bottom style="thin">
        <color rgb="FF000000"/>
      </bottom>
      <diagonal/>
    </border>
    <border>
      <left style="thin">
        <color rgb="FFC0C0C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7"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9" fontId="17" fillId="0" borderId="0" applyFont="0" applyFill="0" applyBorder="0" applyAlignment="0" applyProtection="0"/>
    <xf numFmtId="0" fontId="19" fillId="0" borderId="0"/>
    <xf numFmtId="0" fontId="19" fillId="0" borderId="0" applyNumberFormat="0" applyFont="0" applyFill="0" applyBorder="0" applyProtection="0">
      <alignment horizontal="left" vertical="center" indent="2"/>
    </xf>
    <xf numFmtId="0" fontId="12" fillId="0" borderId="0"/>
    <xf numFmtId="0" fontId="22" fillId="0" borderId="0"/>
    <xf numFmtId="0" fontId="3" fillId="0" borderId="0"/>
    <xf numFmtId="0" fontId="34" fillId="0" borderId="0" applyNumberFormat="0" applyFill="0" applyBorder="0" applyAlignment="0" applyProtection="0"/>
  </cellStyleXfs>
  <cellXfs count="370">
    <xf numFmtId="0" fontId="0" fillId="0" borderId="0" xfId="0"/>
    <xf numFmtId="10" fontId="0" fillId="0" borderId="0" xfId="0" applyNumberFormat="1"/>
    <xf numFmtId="1" fontId="0" fillId="0" borderId="0" xfId="0" applyNumberFormat="1"/>
    <xf numFmtId="0" fontId="2" fillId="0" borderId="0" xfId="1"/>
    <xf numFmtId="0" fontId="3" fillId="0" borderId="0" xfId="2" applyFont="1"/>
    <xf numFmtId="0" fontId="4" fillId="0" borderId="1" xfId="3" applyFont="1" applyFill="1" applyBorder="1" applyAlignment="1">
      <alignment wrapText="1"/>
    </xf>
    <xf numFmtId="0" fontId="5" fillId="0" borderId="0" xfId="0" applyFont="1"/>
    <xf numFmtId="0" fontId="6" fillId="0" borderId="0" xfId="0" applyFont="1"/>
    <xf numFmtId="0" fontId="7" fillId="0" borderId="0" xfId="4" applyFont="1" applyFill="1" applyBorder="1" applyAlignment="1">
      <alignment horizontal="left"/>
    </xf>
    <xf numFmtId="0" fontId="0" fillId="0" borderId="0" xfId="0" applyAlignment="1" applyProtection="1">
      <alignment horizontal="left"/>
    </xf>
    <xf numFmtId="0" fontId="4" fillId="0" borderId="2" xfId="5" applyFont="1" applyFill="1" applyBorder="1" applyAlignment="1">
      <alignment wrapText="1"/>
    </xf>
    <xf numFmtId="0" fontId="0" fillId="0" borderId="3" xfId="6" applyFont="1" applyFill="1" applyBorder="1" applyAlignment="1">
      <alignment wrapText="1"/>
    </xf>
    <xf numFmtId="3" fontId="0" fillId="0" borderId="3" xfId="6" applyNumberFormat="1" applyFont="1" applyFill="1" applyAlignment="1">
      <alignment horizontal="right" wrapText="1"/>
    </xf>
    <xf numFmtId="164" fontId="0" fillId="0" borderId="3" xfId="6" applyNumberFormat="1" applyFont="1" applyFill="1" applyAlignment="1">
      <alignment horizontal="right" wrapText="1"/>
    </xf>
    <xf numFmtId="3" fontId="4" fillId="0" borderId="2" xfId="5" applyNumberFormat="1" applyFill="1" applyAlignment="1">
      <alignment horizontal="right" wrapText="1"/>
    </xf>
    <xf numFmtId="164" fontId="4" fillId="0" borderId="2" xfId="5" applyNumberFormat="1" applyFill="1" applyAlignment="1">
      <alignment horizontal="right" wrapText="1"/>
    </xf>
    <xf numFmtId="4" fontId="0" fillId="0" borderId="3" xfId="6" applyNumberFormat="1" applyFont="1" applyFill="1" applyAlignment="1">
      <alignment horizontal="right" wrapText="1"/>
    </xf>
    <xf numFmtId="4" fontId="4" fillId="0" borderId="2" xfId="5" applyNumberFormat="1" applyFill="1" applyAlignment="1">
      <alignment horizontal="right" wrapText="1"/>
    </xf>
    <xf numFmtId="0" fontId="8" fillId="0" borderId="0" xfId="0" applyFont="1"/>
    <xf numFmtId="0" fontId="0" fillId="0" borderId="6" xfId="0" applyFill="1" applyBorder="1" applyAlignment="1">
      <alignment horizontal="left" vertical="top" wrapText="1"/>
    </xf>
    <xf numFmtId="0" fontId="12" fillId="0" borderId="0" xfId="0" applyFont="1" applyFill="1" applyBorder="1" applyAlignment="1">
      <alignment horizontal="left" vertical="top" wrapText="1"/>
    </xf>
    <xf numFmtId="0" fontId="12"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5" xfId="0"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alignment horizontal="left" vertical="top"/>
    </xf>
    <xf numFmtId="0" fontId="12" fillId="0" borderId="6" xfId="0" applyFont="1" applyFill="1" applyBorder="1" applyAlignment="1">
      <alignment horizontal="left" vertical="top"/>
    </xf>
    <xf numFmtId="0" fontId="9" fillId="0" borderId="7" xfId="0" applyFont="1" applyFill="1" applyBorder="1" applyAlignment="1">
      <alignment horizontal="left" vertical="top"/>
    </xf>
    <xf numFmtId="0" fontId="15"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2" fillId="0" borderId="5" xfId="0" applyFont="1" applyFill="1" applyBorder="1" applyAlignment="1">
      <alignment horizontal="left" vertical="top"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169" fontId="13" fillId="0" borderId="0" xfId="0" applyNumberFormat="1" applyFont="1" applyFill="1" applyBorder="1" applyAlignment="1">
      <alignment horizontal="left" vertical="top" wrapText="1"/>
    </xf>
    <xf numFmtId="169" fontId="13" fillId="0" borderId="6" xfId="0" applyNumberFormat="1" applyFont="1" applyFill="1" applyBorder="1" applyAlignment="1">
      <alignment horizontal="left" vertical="top" wrapText="1"/>
    </xf>
    <xf numFmtId="169" fontId="11" fillId="0" borderId="7" xfId="0" applyNumberFormat="1" applyFont="1"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168" fontId="13" fillId="0" borderId="5" xfId="0" applyNumberFormat="1" applyFont="1" applyFill="1" applyBorder="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168" fontId="13" fillId="0" borderId="0" xfId="0" applyNumberFormat="1" applyFont="1" applyFill="1" applyBorder="1" applyAlignment="1">
      <alignment horizontal="left" vertical="top" wrapText="1"/>
    </xf>
    <xf numFmtId="0" fontId="0" fillId="4" borderId="12" xfId="0" applyFill="1" applyBorder="1" applyAlignment="1">
      <alignment horizontal="left" vertical="top" wrapText="1"/>
    </xf>
    <xf numFmtId="0" fontId="0" fillId="4" borderId="13" xfId="0" applyFill="1" applyBorder="1" applyAlignment="1">
      <alignment horizontal="left" vertical="top" wrapText="1"/>
    </xf>
    <xf numFmtId="170" fontId="13" fillId="0" borderId="0" xfId="0" applyNumberFormat="1" applyFont="1"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168" fontId="11" fillId="0" borderId="7" xfId="0" applyNumberFormat="1" applyFont="1" applyFill="1" applyBorder="1" applyAlignment="1">
      <alignment horizontal="left" vertical="top" wrapText="1"/>
    </xf>
    <xf numFmtId="3" fontId="0" fillId="0" borderId="5" xfId="0" applyNumberFormat="1" applyFill="1" applyBorder="1" applyAlignment="1">
      <alignment horizontal="left" vertical="top" wrapText="1"/>
    </xf>
    <xf numFmtId="3" fontId="12" fillId="0" borderId="5" xfId="0" applyNumberFormat="1" applyFont="1" applyFill="1" applyBorder="1" applyAlignment="1">
      <alignment horizontal="left" vertical="top" wrapText="1"/>
    </xf>
    <xf numFmtId="3" fontId="12" fillId="0" borderId="0" xfId="0" applyNumberFormat="1" applyFont="1" applyFill="1" applyBorder="1" applyAlignment="1">
      <alignment horizontal="left" vertical="top" wrapText="1"/>
    </xf>
    <xf numFmtId="3" fontId="12" fillId="0" borderId="6" xfId="0" applyNumberFormat="1" applyFont="1" applyFill="1" applyBorder="1" applyAlignment="1">
      <alignment horizontal="left" vertical="top" wrapText="1"/>
    </xf>
    <xf numFmtId="0" fontId="9" fillId="0" borderId="7" xfId="0" applyFont="1" applyFill="1" applyBorder="1" applyAlignment="1">
      <alignment vertical="top" wrapText="1"/>
    </xf>
    <xf numFmtId="0" fontId="1" fillId="0" borderId="0" xfId="0" applyFont="1"/>
    <xf numFmtId="0" fontId="1" fillId="5" borderId="0" xfId="0" applyFont="1" applyFill="1"/>
    <xf numFmtId="0" fontId="12" fillId="0" borderId="5" xfId="0" applyFont="1" applyFill="1" applyBorder="1" applyAlignment="1">
      <alignment vertical="top" wrapText="1"/>
    </xf>
    <xf numFmtId="0" fontId="12" fillId="0" borderId="5" xfId="0" applyFont="1" applyFill="1" applyBorder="1" applyAlignment="1">
      <alignment vertical="top"/>
    </xf>
    <xf numFmtId="0" fontId="0" fillId="5" borderId="0" xfId="0" applyFill="1"/>
    <xf numFmtId="0" fontId="0" fillId="2" borderId="0" xfId="0" applyFill="1"/>
    <xf numFmtId="0" fontId="0" fillId="0" borderId="0" xfId="0" applyAlignment="1"/>
    <xf numFmtId="0" fontId="0" fillId="0" borderId="0" xfId="0" applyFont="1"/>
    <xf numFmtId="3" fontId="0" fillId="0" borderId="0" xfId="0" applyNumberFormat="1"/>
    <xf numFmtId="11" fontId="0" fillId="0" borderId="0" xfId="0" applyNumberFormat="1"/>
    <xf numFmtId="171" fontId="0" fillId="0" borderId="3" xfId="6" applyNumberFormat="1" applyFont="1" applyFill="1" applyAlignment="1">
      <alignment horizontal="right" wrapText="1"/>
    </xf>
    <xf numFmtId="172" fontId="0" fillId="0" borderId="0" xfId="0" applyNumberFormat="1"/>
    <xf numFmtId="173" fontId="0" fillId="0" borderId="0" xfId="0" applyNumberFormat="1"/>
    <xf numFmtId="0" fontId="18" fillId="0" borderId="0" xfId="0" applyFont="1"/>
    <xf numFmtId="3" fontId="1" fillId="5" borderId="0" xfId="0" applyNumberFormat="1" applyFont="1" applyFill="1"/>
    <xf numFmtId="3" fontId="0" fillId="5" borderId="0" xfId="0" applyNumberFormat="1" applyFill="1"/>
    <xf numFmtId="3" fontId="18" fillId="0" borderId="0" xfId="0" applyNumberFormat="1" applyFont="1"/>
    <xf numFmtId="0" fontId="0" fillId="0" borderId="0" xfId="0" applyNumberFormat="1"/>
    <xf numFmtId="0" fontId="18" fillId="0" borderId="0" xfId="0" applyNumberFormat="1" applyFont="1"/>
    <xf numFmtId="0" fontId="1" fillId="6" borderId="0" xfId="0" applyFont="1" applyFill="1"/>
    <xf numFmtId="0" fontId="0" fillId="3" borderId="7" xfId="0" applyFill="1" applyBorder="1" applyAlignment="1">
      <alignment horizontal="left" vertical="top" wrapText="1"/>
    </xf>
    <xf numFmtId="0" fontId="0" fillId="4" borderId="7" xfId="0" applyFill="1" applyBorder="1" applyAlignment="1">
      <alignment horizontal="left" vertical="top" wrapText="1"/>
    </xf>
    <xf numFmtId="166" fontId="11" fillId="0" borderId="5" xfId="0" applyNumberFormat="1" applyFont="1" applyFill="1" applyBorder="1" applyAlignment="1">
      <alignment horizontal="left" vertical="top" wrapText="1"/>
    </xf>
    <xf numFmtId="0" fontId="0" fillId="3" borderId="5" xfId="0" applyFill="1" applyBorder="1" applyAlignment="1">
      <alignment horizontal="left" vertical="top" wrapText="1"/>
    </xf>
    <xf numFmtId="0" fontId="0" fillId="4" borderId="5" xfId="0" applyFill="1" applyBorder="1" applyAlignment="1">
      <alignment horizontal="left" vertical="top" wrapText="1"/>
    </xf>
    <xf numFmtId="166" fontId="11"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left" vertical="center" wrapText="1"/>
    </xf>
    <xf numFmtId="166" fontId="13" fillId="0" borderId="6" xfId="0" applyNumberFormat="1" applyFont="1" applyFill="1" applyBorder="1" applyAlignment="1">
      <alignment horizontal="left" vertical="top" wrapText="1"/>
    </xf>
    <xf numFmtId="0" fontId="0" fillId="3" borderId="6" xfId="0" applyFill="1" applyBorder="1" applyAlignment="1">
      <alignment horizontal="left" vertical="top" wrapText="1"/>
    </xf>
    <xf numFmtId="0" fontId="0" fillId="4" borderId="6" xfId="0" applyFill="1" applyBorder="1" applyAlignment="1">
      <alignment horizontal="left" vertical="top" wrapText="1"/>
    </xf>
    <xf numFmtId="166" fontId="11" fillId="0" borderId="7" xfId="0" applyNumberFormat="1" applyFont="1"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9" fillId="0" borderId="6" xfId="0" applyFont="1" applyFill="1" applyBorder="1" applyAlignment="1">
      <alignment horizontal="left" vertical="top"/>
    </xf>
    <xf numFmtId="0" fontId="1" fillId="5" borderId="0" xfId="0" applyFont="1" applyFill="1" applyAlignment="1"/>
    <xf numFmtId="0" fontId="1" fillId="6" borderId="0" xfId="0" applyFont="1" applyFill="1" applyAlignment="1"/>
    <xf numFmtId="9" fontId="0" fillId="0" borderId="0" xfId="0" applyNumberFormat="1"/>
    <xf numFmtId="174" fontId="0" fillId="0" borderId="3" xfId="6" applyNumberFormat="1" applyFont="1" applyFill="1" applyAlignment="1">
      <alignment horizontal="right" wrapText="1"/>
    </xf>
    <xf numFmtId="0" fontId="0" fillId="0" borderId="0" xfId="0" applyAlignment="1">
      <alignment horizontal="left"/>
    </xf>
    <xf numFmtId="9" fontId="0" fillId="0" borderId="0" xfId="8" applyFont="1"/>
    <xf numFmtId="0" fontId="0" fillId="0" borderId="5" xfId="0" applyFill="1" applyBorder="1" applyAlignment="1">
      <alignment horizontal="left" vertical="top" wrapText="1"/>
    </xf>
    <xf numFmtId="166" fontId="0" fillId="0" borderId="0" xfId="0" applyNumberFormat="1"/>
    <xf numFmtId="175" fontId="0" fillId="0" borderId="0" xfId="0" applyNumberFormat="1"/>
    <xf numFmtId="2" fontId="0" fillId="0" borderId="0" xfId="0" applyNumberFormat="1"/>
    <xf numFmtId="0" fontId="20" fillId="0" borderId="0" xfId="0" applyFont="1"/>
    <xf numFmtId="0" fontId="21" fillId="0" borderId="0" xfId="0" applyFont="1"/>
    <xf numFmtId="0" fontId="0" fillId="0" borderId="5" xfId="0" applyFill="1" applyBorder="1" applyAlignment="1">
      <alignment horizontal="left" vertical="top" wrapText="1"/>
    </xf>
    <xf numFmtId="0" fontId="17" fillId="0" borderId="0" xfId="12" applyFont="1"/>
    <xf numFmtId="0" fontId="1" fillId="7" borderId="0" xfId="12" applyFont="1" applyFill="1"/>
    <xf numFmtId="0" fontId="17" fillId="0" borderId="0" xfId="12" applyFont="1" applyAlignment="1">
      <alignment horizontal="left"/>
    </xf>
    <xf numFmtId="0" fontId="23" fillId="5" borderId="0" xfId="12" applyFont="1" applyFill="1"/>
    <xf numFmtId="0" fontId="24" fillId="5" borderId="0" xfId="12" applyFont="1" applyFill="1" applyAlignment="1">
      <alignment horizontal="left"/>
    </xf>
    <xf numFmtId="0" fontId="24" fillId="0" borderId="0" xfId="12" applyFont="1" applyFill="1" applyBorder="1"/>
    <xf numFmtId="0" fontId="25" fillId="0" borderId="0" xfId="12" applyFont="1" applyAlignment="1">
      <alignment horizontal="left"/>
    </xf>
    <xf numFmtId="0" fontId="26" fillId="0" borderId="0" xfId="12" applyFont="1" applyFill="1" applyBorder="1"/>
    <xf numFmtId="0" fontId="23" fillId="0" borderId="0" xfId="12" quotePrefix="1" applyFont="1" applyAlignment="1">
      <alignment horizontal="left"/>
    </xf>
    <xf numFmtId="172" fontId="23" fillId="0" borderId="0" xfId="12" quotePrefix="1" applyNumberFormat="1" applyFont="1" applyAlignment="1">
      <alignment horizontal="left"/>
    </xf>
    <xf numFmtId="0" fontId="23" fillId="0" borderId="0" xfId="12" applyFont="1" applyAlignment="1">
      <alignment horizontal="left"/>
    </xf>
    <xf numFmtId="172" fontId="23" fillId="0" borderId="0" xfId="12" applyNumberFormat="1" applyFont="1" applyAlignment="1">
      <alignment horizontal="left"/>
    </xf>
    <xf numFmtId="0" fontId="18" fillId="0" borderId="0" xfId="12" applyFont="1" applyFill="1" applyBorder="1" applyAlignment="1">
      <alignment horizontal="left" indent="1"/>
    </xf>
    <xf numFmtId="172" fontId="27" fillId="0" borderId="0" xfId="12" applyNumberFormat="1" applyFont="1" applyAlignment="1">
      <alignment horizontal="left"/>
    </xf>
    <xf numFmtId="0" fontId="28" fillId="0" borderId="0" xfId="12" applyFont="1" applyFill="1" applyBorder="1" applyAlignment="1">
      <alignment horizontal="left" vertical="center" indent="1"/>
    </xf>
    <xf numFmtId="0" fontId="29" fillId="0" borderId="0" xfId="12" applyFont="1" applyFill="1" applyBorder="1" applyAlignment="1">
      <alignment horizontal="left" vertical="center" indent="1"/>
    </xf>
    <xf numFmtId="0" fontId="27" fillId="0" borderId="0" xfId="12" applyFont="1" applyFill="1" applyBorder="1" applyAlignment="1">
      <alignment horizontal="left" indent="1"/>
    </xf>
    <xf numFmtId="1" fontId="27" fillId="0" borderId="0" xfId="12" applyNumberFormat="1" applyFont="1" applyAlignment="1">
      <alignment horizontal="left"/>
    </xf>
    <xf numFmtId="172" fontId="23" fillId="0" borderId="0" xfId="12" applyNumberFormat="1" applyFont="1" applyBorder="1"/>
    <xf numFmtId="172" fontId="23" fillId="0" borderId="0" xfId="12" applyNumberFormat="1" applyFont="1" applyBorder="1" applyAlignment="1">
      <alignment horizontal="left"/>
    </xf>
    <xf numFmtId="172" fontId="27" fillId="0" borderId="0" xfId="12" applyNumberFormat="1" applyFont="1" applyBorder="1" applyAlignment="1">
      <alignment horizontal="left"/>
    </xf>
    <xf numFmtId="0" fontId="30" fillId="0" borderId="0" xfId="12" applyFont="1" applyFill="1" applyBorder="1"/>
    <xf numFmtId="0" fontId="30" fillId="0" borderId="0" xfId="12" applyFont="1" applyFill="1" applyBorder="1" applyAlignment="1">
      <alignment horizontal="left"/>
    </xf>
    <xf numFmtId="0" fontId="23" fillId="0" borderId="0" xfId="12" applyFont="1" applyFill="1" applyBorder="1" applyAlignment="1">
      <alignment horizontal="left"/>
    </xf>
    <xf numFmtId="0" fontId="24" fillId="0" borderId="0" xfId="12" applyFont="1" applyFill="1" applyBorder="1" applyAlignment="1">
      <alignment horizontal="left"/>
    </xf>
    <xf numFmtId="0" fontId="26" fillId="0" borderId="0" xfId="12" applyFont="1" applyFill="1" applyBorder="1" applyAlignment="1">
      <alignment horizontal="left"/>
    </xf>
    <xf numFmtId="0" fontId="1" fillId="0" borderId="0" xfId="12" applyFont="1" applyFill="1" applyBorder="1"/>
    <xf numFmtId="172" fontId="17" fillId="0" borderId="0" xfId="12" applyNumberFormat="1" applyFont="1" applyBorder="1" applyAlignment="1">
      <alignment horizontal="left"/>
    </xf>
    <xf numFmtId="0" fontId="18" fillId="0" borderId="0" xfId="12" applyFont="1"/>
    <xf numFmtId="0" fontId="0" fillId="0" borderId="0" xfId="0" applyAlignment="1">
      <alignment horizontal="center"/>
    </xf>
    <xf numFmtId="0" fontId="27" fillId="0" borderId="0" xfId="12" applyFont="1" applyFill="1" applyBorder="1"/>
    <xf numFmtId="172" fontId="17" fillId="0" borderId="0" xfId="12" applyNumberFormat="1" applyFont="1" applyAlignment="1">
      <alignment horizontal="left"/>
    </xf>
    <xf numFmtId="172" fontId="18" fillId="0" borderId="0" xfId="12" applyNumberFormat="1" applyFont="1" applyAlignment="1">
      <alignment horizontal="left"/>
    </xf>
    <xf numFmtId="0" fontId="0" fillId="0" borderId="0" xfId="0" applyAlignment="1">
      <alignment wrapText="1"/>
    </xf>
    <xf numFmtId="171" fontId="4" fillId="0" borderId="2" xfId="5" applyNumberFormat="1" applyFill="1" applyAlignment="1">
      <alignment horizontal="right" wrapText="1"/>
    </xf>
    <xf numFmtId="0" fontId="31" fillId="0" borderId="0" xfId="0" applyFont="1" applyFill="1" applyBorder="1" applyAlignment="1">
      <alignment horizontal="left" vertical="top"/>
    </xf>
    <xf numFmtId="0" fontId="32" fillId="0" borderId="7"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6" xfId="0" applyFont="1" applyFill="1" applyBorder="1" applyAlignment="1">
      <alignment horizontal="left" vertical="top" wrapText="1"/>
    </xf>
    <xf numFmtId="0" fontId="32" fillId="0" borderId="5" xfId="0" applyFont="1" applyFill="1" applyBorder="1" applyAlignment="1">
      <alignment horizontal="right" vertical="top" wrapText="1"/>
    </xf>
    <xf numFmtId="0" fontId="32" fillId="0" borderId="5" xfId="0" applyFont="1" applyFill="1" applyBorder="1" applyAlignment="1">
      <alignment horizontal="left" vertical="top" wrapText="1"/>
    </xf>
    <xf numFmtId="0" fontId="32" fillId="0" borderId="6" xfId="0" applyFont="1" applyFill="1" applyBorder="1" applyAlignment="1">
      <alignment horizontal="left" vertical="center" wrapText="1"/>
    </xf>
    <xf numFmtId="0" fontId="0" fillId="0" borderId="6" xfId="0" applyFill="1" applyBorder="1" applyAlignment="1">
      <alignment horizontal="center" vertical="top" wrapText="1"/>
    </xf>
    <xf numFmtId="165" fontId="11" fillId="0" borderId="5" xfId="0" applyNumberFormat="1" applyFont="1" applyFill="1" applyBorder="1" applyAlignment="1">
      <alignment horizontal="left" vertical="top" wrapText="1"/>
    </xf>
    <xf numFmtId="167" fontId="13"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right" vertical="top" wrapText="1"/>
    </xf>
    <xf numFmtId="167" fontId="13" fillId="0" borderId="0" xfId="0" applyNumberFormat="1" applyFont="1" applyFill="1" applyBorder="1" applyAlignment="1">
      <alignment horizontal="left" vertical="center" wrapText="1"/>
    </xf>
    <xf numFmtId="166" fontId="13" fillId="0" borderId="0" xfId="0" applyNumberFormat="1" applyFont="1" applyFill="1" applyBorder="1" applyAlignment="1">
      <alignment horizontal="right" vertical="center" wrapText="1"/>
    </xf>
    <xf numFmtId="0" fontId="33" fillId="0" borderId="0" xfId="0" applyFont="1" applyFill="1" applyBorder="1" applyAlignment="1">
      <alignment horizontal="right"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right" vertical="top" wrapText="1"/>
    </xf>
    <xf numFmtId="166" fontId="11" fillId="0" borderId="0" xfId="0" applyNumberFormat="1" applyFont="1" applyFill="1" applyBorder="1" applyAlignment="1">
      <alignment horizontal="right" vertical="top" wrapText="1"/>
    </xf>
    <xf numFmtId="166" fontId="13" fillId="0" borderId="6" xfId="0" applyNumberFormat="1" applyFont="1" applyFill="1" applyBorder="1" applyAlignment="1">
      <alignment horizontal="left" vertical="center" wrapText="1"/>
    </xf>
    <xf numFmtId="167" fontId="13" fillId="0" borderId="6" xfId="0" applyNumberFormat="1" applyFont="1" applyFill="1" applyBorder="1" applyAlignment="1">
      <alignment horizontal="left" vertical="center" wrapText="1"/>
    </xf>
    <xf numFmtId="166" fontId="13" fillId="0" borderId="6" xfId="0" applyNumberFormat="1" applyFont="1" applyFill="1" applyBorder="1" applyAlignment="1">
      <alignment horizontal="right" vertical="center" wrapText="1"/>
    </xf>
    <xf numFmtId="165" fontId="11" fillId="0" borderId="7" xfId="0" applyNumberFormat="1" applyFont="1" applyFill="1" applyBorder="1" applyAlignment="1">
      <alignment horizontal="left" vertical="top" wrapText="1"/>
    </xf>
    <xf numFmtId="0" fontId="0" fillId="0" borderId="7" xfId="0" applyFill="1" applyBorder="1" applyAlignment="1">
      <alignment horizontal="left" vertical="top" wrapText="1"/>
    </xf>
    <xf numFmtId="0" fontId="0" fillId="6" borderId="0" xfId="0" applyFill="1"/>
    <xf numFmtId="171" fontId="36" fillId="0" borderId="22" xfId="0" applyNumberFormat="1" applyFont="1" applyFill="1" applyBorder="1" applyAlignment="1">
      <alignment horizontal="right" vertical="center"/>
    </xf>
    <xf numFmtId="0" fontId="37" fillId="9" borderId="0" xfId="0" applyFont="1" applyFill="1"/>
    <xf numFmtId="0" fontId="37" fillId="9" borderId="0" xfId="0" applyFont="1" applyFill="1" applyAlignment="1">
      <alignment horizontal="right"/>
    </xf>
    <xf numFmtId="0" fontId="38" fillId="0" borderId="0" xfId="0" applyFont="1" applyFill="1"/>
    <xf numFmtId="0" fontId="35" fillId="0" borderId="0" xfId="0" applyFont="1" applyFill="1" applyAlignment="1">
      <alignment horizontal="right"/>
    </xf>
    <xf numFmtId="0" fontId="35" fillId="0" borderId="0" xfId="0" applyFont="1" applyFill="1"/>
    <xf numFmtId="0" fontId="39" fillId="0" borderId="0" xfId="0" applyFont="1" applyFill="1"/>
    <xf numFmtId="0" fontId="36" fillId="0" borderId="0" xfId="0" applyFont="1" applyAlignment="1">
      <alignment horizontal="left" vertical="center"/>
    </xf>
    <xf numFmtId="0" fontId="40" fillId="10" borderId="24" xfId="0" applyFont="1" applyFill="1" applyBorder="1" applyAlignment="1">
      <alignment horizontal="left"/>
    </xf>
    <xf numFmtId="1" fontId="40" fillId="10" borderId="24" xfId="0" applyNumberFormat="1" applyFont="1" applyFill="1" applyBorder="1" applyAlignment="1">
      <alignment horizontal="right"/>
    </xf>
    <xf numFmtId="0" fontId="36" fillId="0" borderId="0" xfId="0" applyFont="1" applyAlignment="1">
      <alignment horizontal="center"/>
    </xf>
    <xf numFmtId="0" fontId="35" fillId="13" borderId="25" xfId="0" applyFont="1" applyFill="1" applyBorder="1"/>
    <xf numFmtId="171" fontId="36" fillId="13" borderId="26" xfId="0" applyNumberFormat="1" applyFont="1" applyFill="1" applyBorder="1" applyAlignment="1">
      <alignment horizontal="right"/>
    </xf>
    <xf numFmtId="171" fontId="36" fillId="13" borderId="27" xfId="0" applyNumberFormat="1" applyFont="1" applyFill="1" applyBorder="1" applyAlignment="1">
      <alignment horizontal="right"/>
    </xf>
    <xf numFmtId="0" fontId="36" fillId="0" borderId="0" xfId="0" applyFont="1"/>
    <xf numFmtId="173" fontId="36" fillId="0" borderId="22" xfId="0" applyNumberFormat="1" applyFont="1" applyFill="1" applyBorder="1" applyAlignment="1">
      <alignment horizontal="left" vertical="center" wrapText="1"/>
    </xf>
    <xf numFmtId="173" fontId="36" fillId="0" borderId="0" xfId="0" applyNumberFormat="1" applyFont="1" applyFill="1"/>
    <xf numFmtId="172" fontId="36" fillId="0" borderId="23" xfId="0" applyNumberFormat="1" applyFont="1" applyBorder="1" applyAlignment="1">
      <alignment horizontal="left" vertical="center" wrapText="1"/>
    </xf>
    <xf numFmtId="171" fontId="36" fillId="0" borderId="23" xfId="0" applyNumberFormat="1" applyFont="1" applyBorder="1" applyAlignment="1">
      <alignment horizontal="right" vertical="center"/>
    </xf>
    <xf numFmtId="172" fontId="41" fillId="0" borderId="24" xfId="0" applyNumberFormat="1" applyFont="1" applyBorder="1" applyAlignment="1">
      <alignment horizontal="left" vertical="center" wrapText="1"/>
    </xf>
    <xf numFmtId="171" fontId="41" fillId="0" borderId="24" xfId="0" applyNumberFormat="1" applyFont="1" applyBorder="1" applyAlignment="1">
      <alignment horizontal="right" vertical="center"/>
    </xf>
    <xf numFmtId="0" fontId="41" fillId="0" borderId="0" xfId="0" applyFont="1"/>
    <xf numFmtId="0" fontId="41" fillId="12" borderId="28" xfId="0" applyFont="1" applyFill="1" applyBorder="1"/>
    <xf numFmtId="171" fontId="36" fillId="12" borderId="29" xfId="0" applyNumberFormat="1" applyFont="1" applyFill="1" applyBorder="1" applyAlignment="1">
      <alignment horizontal="right" vertical="center"/>
    </xf>
    <xf numFmtId="171" fontId="36" fillId="12" borderId="30" xfId="0" applyNumberFormat="1" applyFont="1" applyFill="1" applyBorder="1" applyAlignment="1">
      <alignment horizontal="right" vertical="center"/>
    </xf>
    <xf numFmtId="172" fontId="42" fillId="11" borderId="25" xfId="0" applyNumberFormat="1" applyFont="1" applyFill="1" applyBorder="1" applyAlignment="1">
      <alignment horizontal="left" vertical="center" wrapText="1"/>
    </xf>
    <xf numFmtId="171" fontId="36" fillId="11" borderId="26" xfId="0" applyNumberFormat="1" applyFont="1" applyFill="1" applyBorder="1" applyAlignment="1">
      <alignment horizontal="right" vertical="center"/>
    </xf>
    <xf numFmtId="171" fontId="36" fillId="11" borderId="27" xfId="0" applyNumberFormat="1" applyFont="1" applyFill="1" applyBorder="1" applyAlignment="1">
      <alignment horizontal="right" vertical="center"/>
    </xf>
    <xf numFmtId="172" fontId="36" fillId="0" borderId="22" xfId="0" applyNumberFormat="1" applyFont="1" applyBorder="1" applyAlignment="1">
      <alignment horizontal="left" vertical="center" wrapText="1"/>
    </xf>
    <xf numFmtId="171" fontId="36" fillId="0" borderId="22" xfId="0" applyNumberFormat="1" applyFont="1" applyBorder="1" applyAlignment="1">
      <alignment horizontal="right" vertical="center" wrapText="1"/>
    </xf>
    <xf numFmtId="172" fontId="36" fillId="0" borderId="24" xfId="0" applyNumberFormat="1" applyFont="1" applyBorder="1" applyAlignment="1">
      <alignment horizontal="left" vertical="center" wrapText="1"/>
    </xf>
    <xf numFmtId="171" fontId="36" fillId="0" borderId="24" xfId="0" applyNumberFormat="1" applyFont="1" applyBorder="1" applyAlignment="1">
      <alignment horizontal="right" vertical="center" wrapText="1"/>
    </xf>
    <xf numFmtId="171" fontId="36" fillId="0" borderId="23" xfId="0" applyNumberFormat="1" applyFont="1" applyBorder="1" applyAlignment="1">
      <alignment horizontal="right" vertical="center" wrapText="1"/>
    </xf>
    <xf numFmtId="0" fontId="42" fillId="11" borderId="25" xfId="0" applyFont="1" applyFill="1" applyBorder="1" applyAlignment="1">
      <alignment horizontal="left" vertical="center"/>
    </xf>
    <xf numFmtId="0" fontId="36" fillId="11" borderId="22" xfId="0" applyFont="1" applyFill="1" applyBorder="1" applyAlignment="1">
      <alignment horizontal="left" vertical="center" wrapText="1"/>
    </xf>
    <xf numFmtId="4" fontId="36" fillId="11" borderId="22" xfId="0" applyNumberFormat="1" applyFont="1" applyFill="1" applyBorder="1" applyAlignment="1">
      <alignment horizontal="right" vertical="center" wrapText="1"/>
    </xf>
    <xf numFmtId="0" fontId="36" fillId="11" borderId="0" xfId="0" applyFont="1" applyFill="1"/>
    <xf numFmtId="0" fontId="36" fillId="11" borderId="23" xfId="0" applyFont="1" applyFill="1" applyBorder="1" applyAlignment="1">
      <alignment horizontal="left" vertical="center" wrapText="1"/>
    </xf>
    <xf numFmtId="171" fontId="36" fillId="11" borderId="23" xfId="0" applyNumberFormat="1" applyFont="1" applyFill="1" applyBorder="1" applyAlignment="1">
      <alignment horizontal="right" vertical="center" wrapText="1"/>
    </xf>
    <xf numFmtId="0" fontId="36" fillId="11" borderId="24" xfId="0" applyFont="1" applyFill="1" applyBorder="1" applyAlignment="1">
      <alignment horizontal="left" vertical="center" wrapText="1"/>
    </xf>
    <xf numFmtId="171" fontId="36" fillId="11" borderId="24" xfId="0" applyNumberFormat="1" applyFont="1" applyFill="1" applyBorder="1" applyAlignment="1">
      <alignment horizontal="right" vertical="center" wrapText="1"/>
    </xf>
    <xf numFmtId="171" fontId="36" fillId="11" borderId="22" xfId="0" applyNumberFormat="1" applyFont="1" applyFill="1" applyBorder="1" applyAlignment="1">
      <alignment horizontal="right" vertical="center" wrapText="1"/>
    </xf>
    <xf numFmtId="0" fontId="36" fillId="0" borderId="24" xfId="0" applyFont="1" applyBorder="1" applyAlignment="1">
      <alignment horizontal="left" vertical="center" wrapText="1"/>
    </xf>
    <xf numFmtId="0" fontId="42" fillId="11" borderId="25" xfId="0" applyFont="1" applyFill="1" applyBorder="1" applyAlignment="1">
      <alignment horizontal="left" vertical="center" wrapText="1"/>
    </xf>
    <xf numFmtId="0" fontId="36" fillId="0" borderId="22" xfId="0" applyFont="1" applyFill="1" applyBorder="1" applyAlignment="1">
      <alignment horizontal="left" vertical="center" wrapText="1"/>
    </xf>
    <xf numFmtId="0" fontId="36" fillId="0" borderId="23" xfId="0" applyFont="1" applyFill="1" applyBorder="1" applyAlignment="1">
      <alignment horizontal="left" vertical="center" wrapText="1"/>
    </xf>
    <xf numFmtId="171" fontId="36" fillId="0" borderId="23" xfId="0" applyNumberFormat="1" applyFont="1" applyFill="1" applyBorder="1" applyAlignment="1">
      <alignment horizontal="right" vertical="center" wrapText="1"/>
    </xf>
    <xf numFmtId="0" fontId="36" fillId="0" borderId="0" xfId="0" applyFont="1" applyFill="1"/>
    <xf numFmtId="0" fontId="36" fillId="0" borderId="23" xfId="0" applyFont="1" applyBorder="1" applyAlignment="1">
      <alignment horizontal="left" vertical="center" wrapText="1"/>
    </xf>
    <xf numFmtId="0" fontId="36" fillId="0" borderId="22" xfId="0" applyFont="1" applyBorder="1" applyAlignment="1">
      <alignment horizontal="left" vertical="center" wrapText="1"/>
    </xf>
    <xf numFmtId="174" fontId="36" fillId="0" borderId="23" xfId="0" applyNumberFormat="1" applyFont="1" applyBorder="1" applyAlignment="1">
      <alignment horizontal="right" vertical="center" wrapText="1"/>
    </xf>
    <xf numFmtId="4" fontId="36" fillId="0" borderId="23" xfId="0" applyNumberFormat="1" applyFont="1" applyBorder="1" applyAlignment="1">
      <alignment horizontal="right" vertical="center" wrapText="1"/>
    </xf>
    <xf numFmtId="4" fontId="36" fillId="0" borderId="24" xfId="0" applyNumberFormat="1" applyFont="1" applyBorder="1" applyAlignment="1">
      <alignment horizontal="right" vertical="center" wrapText="1"/>
    </xf>
    <xf numFmtId="0" fontId="36" fillId="0" borderId="31" xfId="0" applyFont="1" applyBorder="1" applyAlignment="1">
      <alignment horizontal="left" vertical="center" wrapText="1"/>
    </xf>
    <xf numFmtId="171" fontId="36" fillId="0" borderId="31" xfId="0" applyNumberFormat="1" applyFont="1" applyBorder="1" applyAlignment="1">
      <alignment horizontal="right" vertical="center" wrapText="1"/>
    </xf>
    <xf numFmtId="0" fontId="41" fillId="12" borderId="25" xfId="0" applyFont="1" applyFill="1" applyBorder="1"/>
    <xf numFmtId="171" fontId="36" fillId="12" borderId="26" xfId="0" applyNumberFormat="1" applyFont="1" applyFill="1" applyBorder="1" applyAlignment="1">
      <alignment horizontal="right" vertical="center"/>
    </xf>
    <xf numFmtId="171" fontId="36" fillId="12" borderId="27" xfId="0" applyNumberFormat="1" applyFont="1" applyFill="1" applyBorder="1" applyAlignment="1">
      <alignment horizontal="right" vertical="center"/>
    </xf>
    <xf numFmtId="1" fontId="35" fillId="13" borderId="25" xfId="0" applyNumberFormat="1" applyFont="1" applyFill="1" applyBorder="1"/>
    <xf numFmtId="171" fontId="36" fillId="13" borderId="26" xfId="0" applyNumberFormat="1" applyFont="1" applyFill="1" applyBorder="1" applyAlignment="1">
      <alignment horizontal="right" vertical="center"/>
    </xf>
    <xf numFmtId="171" fontId="36" fillId="13" borderId="27" xfId="0" applyNumberFormat="1" applyFont="1" applyFill="1" applyBorder="1" applyAlignment="1">
      <alignment horizontal="right" vertical="center"/>
    </xf>
    <xf numFmtId="0" fontId="41" fillId="0" borderId="31" xfId="0" applyFont="1" applyFill="1" applyBorder="1" applyAlignment="1">
      <alignment horizontal="left" vertical="center" wrapText="1"/>
    </xf>
    <xf numFmtId="171" fontId="41" fillId="0" borderId="31" xfId="0" applyNumberFormat="1" applyFont="1" applyBorder="1" applyAlignment="1">
      <alignment horizontal="right" vertical="center"/>
    </xf>
    <xf numFmtId="0" fontId="41" fillId="0" borderId="0" xfId="0" applyFont="1" applyFill="1"/>
    <xf numFmtId="171" fontId="36" fillId="0" borderId="22" xfId="0" applyNumberFormat="1" applyFont="1" applyFill="1" applyBorder="1" applyAlignment="1">
      <alignment horizontal="right" vertical="center" wrapText="1"/>
    </xf>
    <xf numFmtId="0" fontId="36" fillId="0" borderId="23" xfId="0" applyFont="1" applyFill="1" applyBorder="1" applyAlignment="1">
      <alignment horizontal="left" vertical="center" wrapText="1" indent="1"/>
    </xf>
    <xf numFmtId="0" fontId="36" fillId="0" borderId="24" xfId="0" applyFont="1" applyFill="1" applyBorder="1" applyAlignment="1">
      <alignment horizontal="left" vertical="center" wrapText="1" indent="1"/>
    </xf>
    <xf numFmtId="171" fontId="36" fillId="0" borderId="24" xfId="0" applyNumberFormat="1" applyFont="1" applyFill="1" applyBorder="1" applyAlignment="1">
      <alignment horizontal="right" vertical="center" wrapText="1"/>
    </xf>
    <xf numFmtId="171" fontId="36" fillId="11" borderId="26" xfId="0" applyNumberFormat="1" applyFont="1" applyFill="1" applyBorder="1" applyAlignment="1">
      <alignment horizontal="right" vertical="center" wrapText="1"/>
    </xf>
    <xf numFmtId="171" fontId="36" fillId="11" borderId="27" xfId="0" applyNumberFormat="1" applyFont="1" applyFill="1" applyBorder="1" applyAlignment="1">
      <alignment horizontal="right" vertical="center" wrapText="1"/>
    </xf>
    <xf numFmtId="0" fontId="36" fillId="11" borderId="32" xfId="0" applyFont="1" applyFill="1" applyBorder="1" applyAlignment="1">
      <alignment horizontal="left" vertical="center" wrapText="1"/>
    </xf>
    <xf numFmtId="171" fontId="36" fillId="11" borderId="33" xfId="0" applyNumberFormat="1" applyFont="1" applyFill="1" applyBorder="1" applyAlignment="1">
      <alignment horizontal="right" vertical="center" wrapText="1"/>
    </xf>
    <xf numFmtId="171" fontId="36" fillId="11" borderId="34" xfId="0" applyNumberFormat="1" applyFont="1" applyFill="1" applyBorder="1" applyAlignment="1">
      <alignment horizontal="right" vertical="center" wrapText="1"/>
    </xf>
    <xf numFmtId="0" fontId="41" fillId="0" borderId="24" xfId="0" applyFont="1" applyBorder="1" applyAlignment="1">
      <alignment horizontal="left" vertical="center" wrapText="1"/>
    </xf>
    <xf numFmtId="174" fontId="36" fillId="0" borderId="24" xfId="0" applyNumberFormat="1" applyFont="1" applyBorder="1" applyAlignment="1">
      <alignment horizontal="right" vertical="center" wrapText="1"/>
    </xf>
    <xf numFmtId="173" fontId="36" fillId="0" borderId="0" xfId="0" applyNumberFormat="1" applyFont="1"/>
    <xf numFmtId="14" fontId="36" fillId="0" borderId="22" xfId="0" applyNumberFormat="1" applyFont="1" applyBorder="1" applyAlignment="1">
      <alignment horizontal="left" vertical="center" wrapText="1"/>
    </xf>
    <xf numFmtId="0" fontId="36" fillId="0" borderId="0" xfId="0" applyFont="1" applyAlignment="1">
      <alignment horizontal="left" vertical="center" wrapText="1"/>
    </xf>
    <xf numFmtId="171" fontId="36" fillId="0" borderId="0" xfId="0" applyNumberFormat="1" applyFont="1" applyAlignment="1">
      <alignment horizontal="right"/>
    </xf>
    <xf numFmtId="0" fontId="36" fillId="0" borderId="0" xfId="0" applyFont="1" applyAlignment="1">
      <alignment horizontal="right"/>
    </xf>
    <xf numFmtId="171" fontId="36" fillId="8" borderId="23" xfId="0" applyNumberFormat="1" applyFont="1" applyFill="1" applyBorder="1" applyAlignment="1">
      <alignment horizontal="right" vertical="center"/>
    </xf>
    <xf numFmtId="172" fontId="36" fillId="8" borderId="24" xfId="0" applyNumberFormat="1" applyFont="1" applyFill="1" applyBorder="1" applyAlignment="1">
      <alignment horizontal="left" vertical="center" wrapText="1"/>
    </xf>
    <xf numFmtId="171" fontId="36" fillId="8" borderId="24" xfId="0" applyNumberFormat="1" applyFont="1" applyFill="1" applyBorder="1" applyAlignment="1">
      <alignment horizontal="right" vertical="center"/>
    </xf>
    <xf numFmtId="172" fontId="43" fillId="8" borderId="24" xfId="0" applyNumberFormat="1" applyFont="1" applyFill="1" applyBorder="1" applyAlignment="1">
      <alignment horizontal="left" vertical="center" wrapText="1"/>
    </xf>
    <xf numFmtId="172" fontId="41" fillId="14" borderId="24" xfId="0" applyNumberFormat="1" applyFont="1" applyFill="1" applyBorder="1" applyAlignment="1">
      <alignment horizontal="left" vertical="center" wrapText="1"/>
    </xf>
    <xf numFmtId="171" fontId="41" fillId="14" borderId="24" xfId="0" applyNumberFormat="1" applyFont="1" applyFill="1" applyBorder="1" applyAlignment="1">
      <alignment horizontal="right" vertical="center"/>
    </xf>
    <xf numFmtId="171" fontId="36" fillId="8" borderId="30" xfId="0" applyNumberFormat="1" applyFont="1" applyFill="1" applyBorder="1" applyAlignment="1">
      <alignment horizontal="right" vertical="center"/>
    </xf>
    <xf numFmtId="172" fontId="43" fillId="8" borderId="28" xfId="0" applyNumberFormat="1" applyFont="1" applyFill="1" applyBorder="1" applyAlignment="1">
      <alignment horizontal="left" vertical="center" wrapText="1"/>
    </xf>
    <xf numFmtId="0" fontId="41" fillId="14" borderId="31" xfId="0" applyFont="1" applyFill="1" applyBorder="1" applyAlignment="1">
      <alignment horizontal="left" vertical="center" wrapText="1"/>
    </xf>
    <xf numFmtId="171" fontId="41" fillId="14" borderId="31" xfId="0" applyNumberFormat="1" applyFont="1" applyFill="1" applyBorder="1" applyAlignment="1">
      <alignment horizontal="right" vertical="center"/>
    </xf>
    <xf numFmtId="0" fontId="41" fillId="14" borderId="24" xfId="0" applyFont="1" applyFill="1" applyBorder="1" applyAlignment="1">
      <alignment horizontal="left" vertical="center" wrapText="1"/>
    </xf>
    <xf numFmtId="0" fontId="41" fillId="0" borderId="0" xfId="0" applyFont="1" applyFill="1" applyAlignment="1">
      <alignment wrapText="1"/>
    </xf>
    <xf numFmtId="0" fontId="36" fillId="0" borderId="0" xfId="0" applyFont="1" applyFill="1" applyAlignment="1">
      <alignment vertical="center" wrapText="1"/>
    </xf>
    <xf numFmtId="0" fontId="40" fillId="10" borderId="24" xfId="0" applyFont="1" applyFill="1" applyBorder="1" applyAlignment="1">
      <alignment horizontal="left" vertical="center" wrapText="1"/>
    </xf>
    <xf numFmtId="0" fontId="40" fillId="10" borderId="24" xfId="0" applyFont="1" applyFill="1" applyBorder="1" applyAlignment="1">
      <alignment horizontal="right" vertical="center"/>
    </xf>
    <xf numFmtId="0" fontId="40" fillId="10" borderId="24" xfId="0" applyFont="1" applyFill="1" applyBorder="1" applyAlignment="1">
      <alignment horizontal="right"/>
    </xf>
    <xf numFmtId="0" fontId="41" fillId="0" borderId="0" xfId="0" applyFont="1" applyBorder="1" applyAlignment="1">
      <alignment horizontal="left"/>
    </xf>
    <xf numFmtId="0" fontId="36" fillId="13" borderId="26" xfId="0" applyFont="1" applyFill="1" applyBorder="1" applyAlignment="1">
      <alignment vertical="center" wrapText="1"/>
    </xf>
    <xf numFmtId="3" fontId="36" fillId="13" borderId="26" xfId="0" applyNumberFormat="1" applyFont="1" applyFill="1" applyBorder="1"/>
    <xf numFmtId="3" fontId="36" fillId="13" borderId="27" xfId="0" applyNumberFormat="1" applyFont="1" applyFill="1" applyBorder="1"/>
    <xf numFmtId="0" fontId="41" fillId="12" borderId="32" xfId="0" applyFont="1" applyFill="1" applyBorder="1"/>
    <xf numFmtId="0" fontId="36" fillId="12" borderId="33" xfId="0" applyFont="1" applyFill="1" applyBorder="1" applyAlignment="1">
      <alignment vertical="center" wrapText="1"/>
    </xf>
    <xf numFmtId="3" fontId="36" fillId="12" borderId="33" xfId="0" applyNumberFormat="1" applyFont="1" applyFill="1" applyBorder="1"/>
    <xf numFmtId="3" fontId="36" fillId="12" borderId="34" xfId="0" applyNumberFormat="1" applyFont="1" applyFill="1" applyBorder="1"/>
    <xf numFmtId="0" fontId="36" fillId="0" borderId="22" xfId="0" applyFont="1" applyBorder="1" applyAlignment="1">
      <alignment vertical="center" wrapText="1"/>
    </xf>
    <xf numFmtId="3" fontId="36" fillId="0" borderId="22" xfId="0" applyNumberFormat="1" applyFont="1" applyBorder="1" applyAlignment="1">
      <alignment horizontal="right" vertical="center"/>
    </xf>
    <xf numFmtId="0" fontId="36" fillId="0" borderId="23" xfId="0" applyFont="1" applyBorder="1" applyAlignment="1">
      <alignment vertical="center" wrapText="1"/>
    </xf>
    <xf numFmtId="3" fontId="36" fillId="0" borderId="23" xfId="0" applyNumberFormat="1" applyFont="1" applyBorder="1" applyAlignment="1">
      <alignment horizontal="right" vertical="center"/>
    </xf>
    <xf numFmtId="0" fontId="36" fillId="0" borderId="24" xfId="0" applyFont="1" applyBorder="1" applyAlignment="1">
      <alignment vertical="center" wrapText="1"/>
    </xf>
    <xf numFmtId="3" fontId="36" fillId="0" borderId="24" xfId="0" applyNumberFormat="1" applyFont="1" applyBorder="1" applyAlignment="1">
      <alignment horizontal="right" vertical="center"/>
    </xf>
    <xf numFmtId="0" fontId="36" fillId="12" borderId="26" xfId="0" applyFont="1" applyFill="1" applyBorder="1" applyAlignment="1">
      <alignment vertical="center" wrapText="1"/>
    </xf>
    <xf numFmtId="3" fontId="36" fillId="12" borderId="26" xfId="0" applyNumberFormat="1" applyFont="1" applyFill="1" applyBorder="1" applyAlignment="1">
      <alignment horizontal="right" vertical="center"/>
    </xf>
    <xf numFmtId="3" fontId="36" fillId="12" borderId="27" xfId="0" applyNumberFormat="1" applyFont="1" applyFill="1" applyBorder="1" applyAlignment="1">
      <alignment horizontal="right" vertical="center"/>
    </xf>
    <xf numFmtId="0" fontId="36" fillId="0" borderId="0" xfId="0" applyFont="1" applyBorder="1"/>
    <xf numFmtId="0" fontId="36" fillId="0" borderId="22" xfId="0" applyFont="1" applyFill="1" applyBorder="1" applyAlignment="1">
      <alignment vertical="center" wrapText="1"/>
    </xf>
    <xf numFmtId="3" fontId="36" fillId="0" borderId="22" xfId="0" applyNumberFormat="1" applyFont="1" applyFill="1" applyBorder="1" applyAlignment="1">
      <alignment horizontal="right" vertical="center"/>
    </xf>
    <xf numFmtId="0" fontId="36" fillId="0" borderId="23" xfId="0" applyFont="1" applyFill="1" applyBorder="1" applyAlignment="1">
      <alignment vertical="center" wrapText="1"/>
    </xf>
    <xf numFmtId="3" fontId="36" fillId="0" borderId="23" xfId="0" applyNumberFormat="1" applyFont="1" applyFill="1" applyBorder="1" applyAlignment="1">
      <alignment horizontal="right" vertical="center"/>
    </xf>
    <xf numFmtId="0" fontId="36" fillId="0" borderId="24" xfId="0" applyFont="1" applyFill="1" applyBorder="1" applyAlignment="1">
      <alignment vertical="center" wrapText="1"/>
    </xf>
    <xf numFmtId="3" fontId="36" fillId="0" borderId="24" xfId="0" applyNumberFormat="1" applyFont="1" applyFill="1" applyBorder="1" applyAlignment="1">
      <alignment horizontal="right" vertical="center"/>
    </xf>
    <xf numFmtId="0" fontId="36" fillId="0" borderId="31" xfId="0" applyFont="1" applyBorder="1" applyAlignment="1">
      <alignment vertical="center" wrapText="1"/>
    </xf>
    <xf numFmtId="3" fontId="36" fillId="0" borderId="31" xfId="0" applyNumberFormat="1" applyFont="1" applyBorder="1" applyAlignment="1">
      <alignment horizontal="right" vertical="center"/>
    </xf>
    <xf numFmtId="3" fontId="36" fillId="0" borderId="22" xfId="0" applyNumberFormat="1" applyFont="1" applyFill="1" applyBorder="1" applyAlignment="1">
      <alignment vertical="center" wrapText="1"/>
    </xf>
    <xf numFmtId="0" fontId="36" fillId="0" borderId="0" xfId="0" applyFont="1" applyFill="1" applyBorder="1"/>
    <xf numFmtId="3" fontId="36" fillId="0" borderId="24" xfId="0" applyNumberFormat="1" applyFont="1" applyFill="1" applyBorder="1" applyAlignment="1">
      <alignment vertical="center" wrapText="1"/>
    </xf>
    <xf numFmtId="1" fontId="41" fillId="13" borderId="26" xfId="0" applyNumberFormat="1" applyFont="1" applyFill="1" applyBorder="1" applyAlignment="1">
      <alignment vertical="center" wrapText="1"/>
    </xf>
    <xf numFmtId="3" fontId="41" fillId="13" borderId="26" xfId="0" applyNumberFormat="1" applyFont="1" applyFill="1" applyBorder="1" applyAlignment="1">
      <alignment horizontal="right" vertical="center"/>
    </xf>
    <xf numFmtId="3" fontId="41" fillId="13" borderId="27" xfId="0" applyNumberFormat="1" applyFont="1" applyFill="1" applyBorder="1" applyAlignment="1">
      <alignment horizontal="right" vertical="center"/>
    </xf>
    <xf numFmtId="1" fontId="36" fillId="12" borderId="33" xfId="0" applyNumberFormat="1" applyFont="1" applyFill="1" applyBorder="1" applyAlignment="1">
      <alignment vertical="center" wrapText="1"/>
    </xf>
    <xf numFmtId="3" fontId="36" fillId="12" borderId="33" xfId="0" applyNumberFormat="1" applyFont="1" applyFill="1" applyBorder="1" applyAlignment="1">
      <alignment horizontal="right" vertical="center"/>
    </xf>
    <xf numFmtId="3" fontId="36" fillId="12" borderId="34" xfId="0" applyNumberFormat="1" applyFont="1" applyFill="1" applyBorder="1" applyAlignment="1">
      <alignment horizontal="right" vertical="center"/>
    </xf>
    <xf numFmtId="1" fontId="36" fillId="0" borderId="22" xfId="0" applyNumberFormat="1" applyFont="1" applyFill="1" applyBorder="1" applyAlignment="1">
      <alignment vertical="center" wrapText="1"/>
    </xf>
    <xf numFmtId="0" fontId="19" fillId="0" borderId="0" xfId="0" applyFont="1" applyFill="1" applyBorder="1" applyAlignment="1">
      <alignment horizontal="left"/>
    </xf>
    <xf numFmtId="1" fontId="36" fillId="0" borderId="23" xfId="0" applyNumberFormat="1" applyFont="1" applyFill="1" applyBorder="1" applyAlignment="1">
      <alignment vertical="center" wrapText="1"/>
    </xf>
    <xf numFmtId="0" fontId="44" fillId="0" borderId="0" xfId="0" applyFont="1" applyFill="1" applyBorder="1" applyAlignment="1">
      <alignment horizontal="left"/>
    </xf>
    <xf numFmtId="1" fontId="36" fillId="0" borderId="24" xfId="0" applyNumberFormat="1" applyFont="1" applyFill="1" applyBorder="1" applyAlignment="1">
      <alignment vertical="center" wrapText="1"/>
    </xf>
    <xf numFmtId="0" fontId="42" fillId="11" borderId="25" xfId="0" applyFont="1" applyFill="1" applyBorder="1" applyAlignment="1">
      <alignment vertical="center" wrapText="1"/>
    </xf>
    <xf numFmtId="1" fontId="36" fillId="11" borderId="26" xfId="0" applyNumberFormat="1" applyFont="1" applyFill="1" applyBorder="1" applyAlignment="1">
      <alignment vertical="center" wrapText="1"/>
    </xf>
    <xf numFmtId="0" fontId="36" fillId="11" borderId="26" xfId="0" applyFont="1" applyFill="1" applyBorder="1"/>
    <xf numFmtId="0" fontId="36" fillId="11" borderId="27" xfId="0" applyFont="1" applyFill="1" applyBorder="1"/>
    <xf numFmtId="1" fontId="41" fillId="11" borderId="25" xfId="0" applyNumberFormat="1" applyFont="1" applyFill="1" applyBorder="1"/>
    <xf numFmtId="3" fontId="36" fillId="11" borderId="26" xfId="0" applyNumberFormat="1" applyFont="1" applyFill="1" applyBorder="1" applyAlignment="1">
      <alignment horizontal="right" vertical="center"/>
    </xf>
    <xf numFmtId="3" fontId="36" fillId="11" borderId="27" xfId="0" applyNumberFormat="1" applyFont="1" applyFill="1" applyBorder="1" applyAlignment="1">
      <alignment horizontal="right" vertical="center"/>
    </xf>
    <xf numFmtId="1" fontId="36" fillId="0" borderId="31" xfId="0" applyNumberFormat="1" applyFont="1" applyFill="1" applyBorder="1" applyAlignment="1">
      <alignment vertical="center" wrapText="1"/>
    </xf>
    <xf numFmtId="3" fontId="36" fillId="0" borderId="31" xfId="0" applyNumberFormat="1" applyFont="1" applyFill="1" applyBorder="1" applyAlignment="1">
      <alignment horizontal="right" vertical="center"/>
    </xf>
    <xf numFmtId="0" fontId="19" fillId="15" borderId="0" xfId="0" applyFont="1" applyFill="1" applyBorder="1" applyAlignment="1">
      <alignment horizontal="left"/>
    </xf>
    <xf numFmtId="1" fontId="41" fillId="12" borderId="32" xfId="0" applyNumberFormat="1" applyFont="1" applyFill="1" applyBorder="1"/>
    <xf numFmtId="1" fontId="36" fillId="0" borderId="31" xfId="0" applyNumberFormat="1" applyFont="1" applyBorder="1" applyAlignment="1">
      <alignment vertical="center" wrapText="1"/>
    </xf>
    <xf numFmtId="1" fontId="42" fillId="11" borderId="25" xfId="0" applyNumberFormat="1" applyFont="1" applyFill="1" applyBorder="1" applyAlignment="1">
      <alignment vertical="center" wrapText="1"/>
    </xf>
    <xf numFmtId="1" fontId="36" fillId="0" borderId="22" xfId="0" applyNumberFormat="1" applyFont="1" applyBorder="1" applyAlignment="1">
      <alignment vertical="center" wrapText="1"/>
    </xf>
    <xf numFmtId="1" fontId="36" fillId="0" borderId="23" xfId="0" applyNumberFormat="1" applyFont="1" applyBorder="1" applyAlignment="1">
      <alignment vertical="center" wrapText="1"/>
    </xf>
    <xf numFmtId="1" fontId="36" fillId="0" borderId="24" xfId="0" applyNumberFormat="1" applyFont="1" applyBorder="1" applyAlignment="1">
      <alignment vertical="center" wrapText="1"/>
    </xf>
    <xf numFmtId="1" fontId="41" fillId="12" borderId="28" xfId="0" applyNumberFormat="1" applyFont="1" applyFill="1" applyBorder="1"/>
    <xf numFmtId="1" fontId="36" fillId="12" borderId="29" xfId="0" applyNumberFormat="1" applyFont="1" applyFill="1" applyBorder="1" applyAlignment="1">
      <alignment vertical="center" wrapText="1"/>
    </xf>
    <xf numFmtId="3" fontId="36" fillId="12" borderId="29" xfId="0" applyNumberFormat="1" applyFont="1" applyFill="1" applyBorder="1" applyAlignment="1">
      <alignment horizontal="right" vertical="center"/>
    </xf>
    <xf numFmtId="3" fontId="36" fillId="12" borderId="30" xfId="0" applyNumberFormat="1" applyFont="1" applyFill="1" applyBorder="1" applyAlignment="1">
      <alignment horizontal="right" vertical="center"/>
    </xf>
    <xf numFmtId="1" fontId="41" fillId="12" borderId="25" xfId="0" applyNumberFormat="1" applyFont="1" applyFill="1" applyBorder="1"/>
    <xf numFmtId="1" fontId="36" fillId="12" borderId="26" xfId="0" applyNumberFormat="1" applyFont="1" applyFill="1" applyBorder="1" applyAlignment="1">
      <alignment vertical="center" wrapText="1"/>
    </xf>
    <xf numFmtId="3" fontId="41" fillId="13" borderId="30" xfId="0" applyNumberFormat="1" applyFont="1" applyFill="1" applyBorder="1" applyAlignment="1">
      <alignment horizontal="right" vertical="center"/>
    </xf>
    <xf numFmtId="0" fontId="36" fillId="0" borderId="0" xfId="0" applyFont="1" applyAlignment="1">
      <alignment vertical="center" wrapText="1"/>
    </xf>
    <xf numFmtId="174" fontId="36" fillId="0" borderId="22" xfId="0" applyNumberFormat="1" applyFont="1" applyBorder="1" applyAlignment="1">
      <alignment horizontal="right" vertical="center" wrapText="1"/>
    </xf>
    <xf numFmtId="171" fontId="0" fillId="0" borderId="0" xfId="0" applyNumberFormat="1"/>
    <xf numFmtId="0" fontId="0" fillId="0" borderId="0" xfId="0" quotePrefix="1"/>
    <xf numFmtId="0" fontId="45" fillId="5" borderId="0" xfId="0" applyFont="1" applyFill="1"/>
    <xf numFmtId="0" fontId="21" fillId="5" borderId="0" xfId="0" applyFont="1" applyFill="1"/>
    <xf numFmtId="0" fontId="0" fillId="5" borderId="0" xfId="0" applyFont="1" applyFill="1"/>
    <xf numFmtId="0" fontId="47"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pivotButton="1"/>
    <xf numFmtId="172" fontId="27" fillId="0" borderId="0" xfId="12" quotePrefix="1" applyNumberFormat="1" applyFont="1" applyAlignment="1">
      <alignment horizontal="left"/>
    </xf>
    <xf numFmtId="0" fontId="27" fillId="0" borderId="0" xfId="12"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174" fontId="0" fillId="0" borderId="0" xfId="0" applyNumberFormat="1"/>
    <xf numFmtId="0" fontId="38" fillId="0" borderId="0" xfId="0" applyFont="1" applyAlignment="1">
      <alignment horizontal="left" vertical="center"/>
    </xf>
    <xf numFmtId="0" fontId="50" fillId="0" borderId="0" xfId="0" applyFont="1" applyFill="1" applyAlignment="1">
      <alignment wrapText="1"/>
    </xf>
    <xf numFmtId="172" fontId="41" fillId="0" borderId="31" xfId="0" applyNumberFormat="1" applyFont="1" applyBorder="1" applyAlignment="1">
      <alignment horizontal="left" vertical="center" wrapText="1"/>
    </xf>
    <xf numFmtId="4" fontId="36" fillId="0" borderId="22" xfId="0" applyNumberFormat="1" applyFont="1" applyBorder="1" applyAlignment="1">
      <alignment horizontal="right" vertical="center" wrapText="1"/>
    </xf>
    <xf numFmtId="4" fontId="36" fillId="0" borderId="23" xfId="0" applyNumberFormat="1" applyFont="1" applyFill="1" applyBorder="1" applyAlignment="1">
      <alignment horizontal="right" vertical="center" wrapText="1"/>
    </xf>
    <xf numFmtId="0" fontId="36" fillId="0" borderId="24" xfId="0" applyFont="1" applyFill="1" applyBorder="1" applyAlignment="1">
      <alignment horizontal="left" vertical="center" wrapText="1"/>
    </xf>
    <xf numFmtId="4" fontId="36" fillId="0" borderId="24" xfId="0" applyNumberFormat="1" applyFont="1" applyFill="1" applyBorder="1" applyAlignment="1">
      <alignment horizontal="right" vertical="center" wrapText="1"/>
    </xf>
    <xf numFmtId="0" fontId="36" fillId="11" borderId="25" xfId="0" applyFont="1" applyFill="1" applyBorder="1" applyAlignment="1">
      <alignment horizontal="left" vertical="center" wrapText="1"/>
    </xf>
    <xf numFmtId="0" fontId="36" fillId="0" borderId="31" xfId="0" applyFont="1" applyFill="1" applyBorder="1" applyAlignment="1">
      <alignment horizontal="left" vertical="center" wrapText="1"/>
    </xf>
    <xf numFmtId="171" fontId="36" fillId="0" borderId="31" xfId="0" applyNumberFormat="1" applyFont="1" applyFill="1" applyBorder="1" applyAlignment="1">
      <alignment horizontal="right" vertical="center" wrapText="1"/>
    </xf>
    <xf numFmtId="0" fontId="41" fillId="0" borderId="31" xfId="0" applyFont="1" applyBorder="1" applyAlignment="1">
      <alignment horizontal="left" vertical="center" wrapText="1"/>
    </xf>
    <xf numFmtId="0" fontId="0" fillId="0" borderId="0" xfId="0" applyFill="1"/>
    <xf numFmtId="0" fontId="0" fillId="0" borderId="0" xfId="0" applyFont="1" applyFill="1"/>
    <xf numFmtId="0" fontId="0" fillId="0" borderId="0" xfId="0" applyFont="1" applyFill="1" applyBorder="1" applyAlignment="1">
      <alignment horizontal="left" vertical="top" wrapText="1"/>
    </xf>
    <xf numFmtId="0" fontId="20" fillId="0" borderId="0" xfId="0" applyFont="1" applyFill="1"/>
    <xf numFmtId="0" fontId="21" fillId="0" borderId="0" xfId="0" applyFont="1" applyFill="1"/>
    <xf numFmtId="0" fontId="2" fillId="0" borderId="0" xfId="1" applyAlignment="1">
      <alignment wrapText="1"/>
    </xf>
    <xf numFmtId="4" fontId="0" fillId="0" borderId="0" xfId="0" applyNumberFormat="1"/>
    <xf numFmtId="164" fontId="0" fillId="0" borderId="0" xfId="0" applyNumberFormat="1"/>
    <xf numFmtId="0" fontId="0" fillId="0" borderId="0" xfId="0" applyNumberFormat="1" applyFont="1"/>
    <xf numFmtId="3" fontId="0" fillId="0" borderId="0" xfId="0" applyNumberFormat="1" applyFont="1"/>
    <xf numFmtId="3" fontId="20" fillId="13" borderId="0" xfId="0" applyNumberFormat="1" applyFont="1" applyFill="1"/>
    <xf numFmtId="3" fontId="21" fillId="0" borderId="0" xfId="0" applyNumberFormat="1" applyFont="1"/>
    <xf numFmtId="172" fontId="18" fillId="0" borderId="0" xfId="0" applyNumberFormat="1" applyFont="1"/>
    <xf numFmtId="1" fontId="18" fillId="0" borderId="0" xfId="0" applyNumberFormat="1" applyFont="1"/>
    <xf numFmtId="176"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0" fontId="0" fillId="0" borderId="5" xfId="0" applyFill="1" applyBorder="1" applyAlignment="1">
      <alignment horizontal="left" vertical="top" wrapText="1"/>
    </xf>
    <xf numFmtId="0" fontId="12" fillId="0" borderId="5" xfId="0" applyFont="1" applyFill="1" applyBorder="1" applyAlignment="1">
      <alignment horizontal="left" vertical="top" wrapText="1"/>
    </xf>
    <xf numFmtId="0" fontId="3" fillId="0" borderId="4" xfId="7" applyFont="1" applyFill="1" applyBorder="1" applyAlignment="1">
      <alignment wrapText="1"/>
    </xf>
  </cellXfs>
  <cellStyles count="15">
    <cellStyle name="2x indented GHG Textfiels" xfId="10"/>
    <cellStyle name="Body: normal cell" xfId="6"/>
    <cellStyle name="Font: Calibri, 9pt regular" xfId="2"/>
    <cellStyle name="Footnotes: top row" xfId="7"/>
    <cellStyle name="Header: bottom row" xfId="3"/>
    <cellStyle name="Hyperlink" xfId="1" builtinId="8"/>
    <cellStyle name="Hyperlink 2" xfId="14"/>
    <cellStyle name="Normal" xfId="0" builtinId="0"/>
    <cellStyle name="Normal 2" xfId="9"/>
    <cellStyle name="Normal 3" xfId="12"/>
    <cellStyle name="Normal 4" xfId="13"/>
    <cellStyle name="Parent row" xfId="5"/>
    <cellStyle name="Percent" xfId="8" builtinId="5"/>
    <cellStyle name="Table title" xfId="4"/>
    <cellStyle name="Обычный_CRF2002 (1)" xfId="11"/>
  </cellStyles>
  <dxfs count="8">
    <dxf>
      <numFmt numFmtId="1" formatCode="0"/>
    </dxf>
    <dxf>
      <numFmt numFmtId="172" formatCode="0.0"/>
    </dxf>
    <dxf>
      <numFmt numFmtId="2" formatCode="0.00"/>
    </dxf>
    <dxf>
      <numFmt numFmtId="173" formatCode="0.000"/>
    </dxf>
    <dxf>
      <numFmt numFmtId="175" formatCode="0.0000"/>
    </dxf>
    <dxf>
      <numFmt numFmtId="177" formatCode="0.00000"/>
    </dxf>
    <dxf>
      <numFmt numFmtId="178" formatCode="0.000000"/>
    </dxf>
    <dxf>
      <numFmt numFmtId="179"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66675</xdr:rowOff>
    </xdr:from>
    <xdr:to>
      <xdr:col>4</xdr:col>
      <xdr:colOff>218606</xdr:colOff>
      <xdr:row>12</xdr:row>
      <xdr:rowOff>142651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38175"/>
          <a:ext cx="3752381" cy="1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9525</xdr:colOff>
      <xdr:row>122</xdr:row>
      <xdr:rowOff>142875</xdr:rowOff>
    </xdr:from>
    <xdr:to>
      <xdr:col>18</xdr:col>
      <xdr:colOff>551925</xdr:colOff>
      <xdr:row>128</xdr:row>
      <xdr:rowOff>57018</xdr:rowOff>
    </xdr:to>
    <xdr:pic>
      <xdr:nvPicPr>
        <xdr:cNvPr id="2" name="Picture 1"/>
        <xdr:cNvPicPr>
          <a:picLocks noChangeAspect="1"/>
        </xdr:cNvPicPr>
      </xdr:nvPicPr>
      <xdr:blipFill>
        <a:blip xmlns:r="http://schemas.openxmlformats.org/officeDocument/2006/relationships" r:embed="rId1"/>
        <a:stretch>
          <a:fillRect/>
        </a:stretch>
      </xdr:blipFill>
      <xdr:spPr>
        <a:xfrm>
          <a:off x="9029700" y="14830425"/>
          <a:ext cx="4200000" cy="1057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3476.66312326389" createdVersion="6" refreshedVersion="6" minRefreshableVersion="3" recordCount="162">
  <cacheSource type="worksheet">
    <worksheetSource ref="A1:AV163" sheet="Other Industrial Processes"/>
  </cacheSource>
  <cacheFields count="48">
    <cacheField name="Sub-Sector" numFmtId="0">
      <sharedItems/>
    </cacheField>
    <cacheField name="Model Sector" numFmtId="0">
      <sharedItems count="8">
        <s v="Coal Mining"/>
        <s v="Chemicals"/>
        <s v="Other"/>
        <s v="Cement and Other Carbonates"/>
        <s v="Natural Gas and Petroleum Systems"/>
        <s v="Agriculture"/>
        <s v="Waste"/>
        <s v="Exclude"/>
      </sharedItems>
    </cacheField>
    <cacheField name="Pollutant" numFmtId="0">
      <sharedItems containsBlank="1" count="8">
        <s v="CO2"/>
        <s v="CH4"/>
        <s v="N2O"/>
        <s v="HFCs"/>
        <s v="PFCs"/>
        <s v="SF6"/>
        <s v="NF3"/>
        <m u="1"/>
      </sharedItems>
    </cacheField>
    <cacheField name="2006" numFmtId="0">
      <sharedItems containsSemiMixedTypes="0" containsString="0" containsNumber="1" containsInteger="1" minValue="0" maxValue="27187"/>
    </cacheField>
    <cacheField name="2007" numFmtId="0">
      <sharedItems containsSemiMixedTypes="0" containsString="0" containsNumber="1" containsInteger="1" minValue="0" maxValue="27627"/>
    </cacheField>
    <cacheField name="2008" numFmtId="0">
      <sharedItems containsSemiMixedTypes="0" containsString="0" containsNumber="1" containsInteger="1" minValue="0" maxValue="24352"/>
    </cacheField>
    <cacheField name="2009" numFmtId="0">
      <sharedItems containsSemiMixedTypes="0" containsString="0" containsNumber="1" containsInteger="1" minValue="0" maxValue="23403"/>
    </cacheField>
    <cacheField name="2010" numFmtId="0">
      <sharedItems containsSemiMixedTypes="0" containsString="0" containsNumber="1" containsInteger="1" minValue="0" maxValue="27262"/>
    </cacheField>
    <cacheField name="2011" numFmtId="0">
      <sharedItems containsSemiMixedTypes="0" containsString="0" containsNumber="1" containsInteger="1" minValue="0" maxValue="26338"/>
    </cacheField>
    <cacheField name="2012" numFmtId="0">
      <sharedItems containsSemiMixedTypes="0" containsString="0" containsNumber="1" containsInteger="1" minValue="0" maxValue="26501"/>
    </cacheField>
    <cacheField name="2013" numFmtId="0">
      <sharedItems containsSemiMixedTypes="0" containsString="0" containsNumber="1" containsInteger="1" minValue="0" maxValue="26395"/>
    </cacheField>
    <cacheField name="2014" numFmtId="0">
      <sharedItems containsSemiMixedTypes="0" containsString="0" containsNumber="1" containsInteger="1" minValue="0" maxValue="26496"/>
    </cacheField>
    <cacheField name="2015" numFmtId="0">
      <sharedItems containsSemiMixedTypes="0" containsString="0" containsNumber="1" containsInteger="1" minValue="0" maxValue="28062"/>
    </cacheField>
    <cacheField name="2016" numFmtId="0">
      <sharedItems containsSemiMixedTypes="0" containsString="0" containsNumber="1" containsInteger="1" minValue="0" maxValue="28110"/>
    </cacheField>
    <cacheField name="2017" numFmtId="1">
      <sharedItems containsSemiMixedTypes="0" containsString="0" containsNumber="1" minValue="0" maxValue="28202.3"/>
    </cacheField>
    <cacheField name="2018" numFmtId="1">
      <sharedItems containsSemiMixedTypes="0" containsString="0" containsNumber="1" minValue="0" maxValue="28294.6"/>
    </cacheField>
    <cacheField name="2019" numFmtId="1">
      <sharedItems containsSemiMixedTypes="0" containsString="0" containsNumber="1" minValue="0" maxValue="28386.899999999998"/>
    </cacheField>
    <cacheField name="2020" numFmtId="1">
      <sharedItems containsSemiMixedTypes="0" containsString="0" containsNumber="1" minValue="0" maxValue="28479.199999999997"/>
    </cacheField>
    <cacheField name="2021" numFmtId="1">
      <sharedItems containsSemiMixedTypes="0" containsString="0" containsNumber="1" minValue="0" maxValue="28571.499999999996"/>
    </cacheField>
    <cacheField name="2022" numFmtId="1">
      <sharedItems containsSemiMixedTypes="0" containsString="0" containsNumber="1" minValue="0" maxValue="28663.799999999996"/>
    </cacheField>
    <cacheField name="2023" numFmtId="1">
      <sharedItems containsSemiMixedTypes="0" containsString="0" containsNumber="1" minValue="0" maxValue="28756.099999999995"/>
    </cacheField>
    <cacheField name="2024" numFmtId="1">
      <sharedItems containsSemiMixedTypes="0" containsString="0" containsNumber="1" minValue="0" maxValue="28848.399999999994"/>
    </cacheField>
    <cacheField name="2025" numFmtId="1">
      <sharedItems containsSemiMixedTypes="0" containsString="0" containsNumber="1" minValue="0" maxValue="28940.699999999993"/>
    </cacheField>
    <cacheField name="2026" numFmtId="1">
      <sharedItems containsSemiMixedTypes="0" containsString="0" containsNumber="1" minValue="0" maxValue="29032.999999999993"/>
    </cacheField>
    <cacheField name="2027" numFmtId="1">
      <sharedItems containsSemiMixedTypes="0" containsString="0" containsNumber="1" minValue="0" maxValue="29125.299999999992"/>
    </cacheField>
    <cacheField name="2028" numFmtId="1">
      <sharedItems containsSemiMixedTypes="0" containsString="0" containsNumber="1" minValue="0" maxValue="29217.599999999991"/>
    </cacheField>
    <cacheField name="2029" numFmtId="1">
      <sharedItems containsSemiMixedTypes="0" containsString="0" containsNumber="1" minValue="0" maxValue="29309.899999999991"/>
    </cacheField>
    <cacheField name="2030" numFmtId="1">
      <sharedItems containsSemiMixedTypes="0" containsString="0" containsNumber="1" minValue="0" maxValue="29402.19999999999"/>
    </cacheField>
    <cacheField name="2031" numFmtId="1">
      <sharedItems containsSemiMixedTypes="0" containsString="0" containsNumber="1" minValue="0" maxValue="29494.499999999989"/>
    </cacheField>
    <cacheField name="2032" numFmtId="1">
      <sharedItems containsSemiMixedTypes="0" containsString="0" containsNumber="1" minValue="0" maxValue="29586.799999999988"/>
    </cacheField>
    <cacheField name="2033" numFmtId="1">
      <sharedItems containsSemiMixedTypes="0" containsString="0" containsNumber="1" minValue="0" maxValue="29679.099999999988"/>
    </cacheField>
    <cacheField name="2034" numFmtId="1">
      <sharedItems containsSemiMixedTypes="0" containsString="0" containsNumber="1" minValue="0" maxValue="29771.399999999987"/>
    </cacheField>
    <cacheField name="2035" numFmtId="1">
      <sharedItems containsSemiMixedTypes="0" containsString="0" containsNumber="1" minValue="0" maxValue="29863.699999999986"/>
    </cacheField>
    <cacheField name="2036" numFmtId="1">
      <sharedItems containsSemiMixedTypes="0" containsString="0" containsNumber="1" minValue="0" maxValue="29955.999999999985"/>
    </cacheField>
    <cacheField name="2037" numFmtId="1">
      <sharedItems containsSemiMixedTypes="0" containsString="0" containsNumber="1" minValue="0" maxValue="30048.299999999985"/>
    </cacheField>
    <cacheField name="2038" numFmtId="1">
      <sharedItems containsSemiMixedTypes="0" containsString="0" containsNumber="1" minValue="0" maxValue="30140.599999999984"/>
    </cacheField>
    <cacheField name="2039" numFmtId="1">
      <sharedItems containsSemiMixedTypes="0" containsString="0" containsNumber="1" minValue="0" maxValue="30232.899999999983"/>
    </cacheField>
    <cacheField name="2040" numFmtId="1">
      <sharedItems containsSemiMixedTypes="0" containsString="0" containsNumber="1" minValue="0" maxValue="30325.199999999983"/>
    </cacheField>
    <cacheField name="2041" numFmtId="1">
      <sharedItems containsSemiMixedTypes="0" containsString="0" containsNumber="1" minValue="0" maxValue="30417.499999999982"/>
    </cacheField>
    <cacheField name="2042" numFmtId="1">
      <sharedItems containsSemiMixedTypes="0" containsString="0" containsNumber="1" minValue="0" maxValue="30509.799999999981"/>
    </cacheField>
    <cacheField name="2043" numFmtId="1">
      <sharedItems containsSemiMixedTypes="0" containsString="0" containsNumber="1" minValue="0" maxValue="30602.09999999998"/>
    </cacheField>
    <cacheField name="2044" numFmtId="1">
      <sharedItems containsSemiMixedTypes="0" containsString="0" containsNumber="1" minValue="0" maxValue="30694.39999999998"/>
    </cacheField>
    <cacheField name="2045" numFmtId="1">
      <sharedItems containsSemiMixedTypes="0" containsString="0" containsNumber="1" minValue="0" maxValue="30786.699999999979"/>
    </cacheField>
    <cacheField name="2046" numFmtId="1">
      <sharedItems containsSemiMixedTypes="0" containsString="0" containsNumber="1" minValue="0" maxValue="30878.999999999978"/>
    </cacheField>
    <cacheField name="2047" numFmtId="1">
      <sharedItems containsSemiMixedTypes="0" containsString="0" containsNumber="1" minValue="0" maxValue="30971.299999999977"/>
    </cacheField>
    <cacheField name="2048" numFmtId="1">
      <sharedItems containsSemiMixedTypes="0" containsString="0" containsNumber="1" minValue="0" maxValue="31063.599999999977"/>
    </cacheField>
    <cacheField name="2049" numFmtId="1">
      <sharedItems containsSemiMixedTypes="0" containsString="0" containsNumber="1" minValue="0" maxValue="31155.899999999976"/>
    </cacheField>
    <cacheField name="2050" numFmtId="1">
      <sharedItems containsSemiMixedTypes="0" containsString="0" containsNumber="1" minValue="0" maxValue="31248.1999999999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2">
  <r>
    <s v="Abandoned Underground Coal Mines"/>
    <x v="0"/>
    <x v="0"/>
    <n v="0"/>
    <n v="0"/>
    <n v="0"/>
    <n v="0"/>
    <n v="0"/>
    <n v="0"/>
    <n v="0"/>
    <n v="0"/>
    <n v="0"/>
    <n v="0"/>
    <n v="0"/>
    <n v="0"/>
    <n v="0"/>
    <n v="0"/>
    <n v="0"/>
    <n v="0"/>
    <n v="0"/>
    <n v="0"/>
    <n v="0"/>
    <n v="0"/>
    <n v="0"/>
    <n v="0"/>
    <n v="0"/>
    <n v="0"/>
    <n v="0"/>
    <n v="0"/>
    <n v="0"/>
    <n v="0"/>
    <n v="0"/>
    <n v="0"/>
    <n v="0"/>
    <n v="0"/>
    <n v="0"/>
    <n v="0"/>
    <n v="0"/>
    <n v="0"/>
    <n v="0"/>
    <n v="0"/>
    <n v="0"/>
    <n v="0"/>
    <n v="0"/>
    <n v="0"/>
    <n v="0"/>
    <n v="0"/>
    <n v="0"/>
  </r>
  <r>
    <s v="Nitric Acid Production"/>
    <x v="1"/>
    <x v="0"/>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0"/>
    <n v="207"/>
    <n v="196"/>
    <n v="175"/>
    <n v="145"/>
    <n v="181"/>
    <n v="170"/>
    <n v="158"/>
    <n v="169"/>
    <n v="173"/>
    <n v="180"/>
    <n v="174"/>
    <n v="160.67308647762198"/>
    <n v="158.63037533297893"/>
    <n v="156.61363411840898"/>
    <n v="154.62253266619854"/>
    <n v="152.65674500620881"/>
    <n v="150.71594931250968"/>
    <n v="148.79982785069288"/>
    <n v="146.90806692585429"/>
    <n v="145.04035683123803"/>
    <n v="143.19639179753315"/>
    <n v="141.37586994281529"/>
    <n v="139.57849322312416"/>
    <n v="137.8039673836702"/>
    <n v="136.05200191066081"/>
    <n v="134.3223099837393"/>
    <n v="132.61460842902872"/>
    <n v="130.92861767277239"/>
    <n v="129.26406169556378"/>
    <n v="127.62066798715871"/>
    <n v="125.99816750186136"/>
    <n v="124.39629461447836"/>
    <n v="122.81478707683181"/>
    <n v="121.25338597482616"/>
    <n v="119.71183568606028"/>
    <n v="118.18988383797873"/>
    <n v="116.68728126655471"/>
    <n v="115.203781975499"/>
    <n v="113.73914309598662"/>
    <n v="112.29312484689623"/>
    <n v="110.86549049555452"/>
    <n v="109.45600631898009"/>
    <n v="108.06444156561959"/>
    <n v="106.69056841757086"/>
    <n v="105.33416195328583"/>
  </r>
  <r>
    <s v="Ferroalloy Production"/>
    <x v="2"/>
    <x v="0"/>
    <n v="1505"/>
    <n v="1552"/>
    <n v="1599"/>
    <n v="1469"/>
    <n v="1663"/>
    <n v="1735"/>
    <n v="1903"/>
    <n v="1785"/>
    <n v="1914"/>
    <n v="1960"/>
    <n v="1796"/>
    <n v="1825.1"/>
    <n v="1854.1999999999998"/>
    <n v="1883.2999999999997"/>
    <n v="1912.3999999999996"/>
    <n v="1941.4999999999995"/>
    <n v="1970.5999999999995"/>
    <n v="1999.6999999999994"/>
    <n v="2028.7999999999993"/>
    <n v="2057.8999999999992"/>
    <n v="2086.9999999999991"/>
    <n v="2116.099999999999"/>
    <n v="2145.1999999999989"/>
    <n v="2174.2999999999988"/>
    <n v="2203.3999999999987"/>
    <n v="2232.4999999999986"/>
    <n v="2261.5999999999985"/>
    <n v="2290.6999999999985"/>
    <n v="2319.7999999999984"/>
    <n v="2348.8999999999983"/>
    <n v="2377.9999999999982"/>
    <n v="2407.0999999999981"/>
    <n v="2436.199999999998"/>
    <n v="2465.2999999999979"/>
    <n v="2494.3999999999978"/>
    <n v="2523.4999999999977"/>
    <n v="2552.5999999999976"/>
    <n v="2581.6999999999975"/>
    <n v="2610.7999999999975"/>
    <n v="2639.8999999999974"/>
    <n v="2668.9999999999973"/>
    <n v="2698.0999999999972"/>
    <n v="2727.1999999999971"/>
    <n v="2756.299999999997"/>
    <n v="2785.3999999999969"/>
  </r>
  <r>
    <s v="Lime Production"/>
    <x v="3"/>
    <x v="0"/>
    <n v="15243"/>
    <n v="14721"/>
    <n v="14505"/>
    <n v="11411"/>
    <n v="13381"/>
    <n v="13982"/>
    <n v="13785"/>
    <n v="14028"/>
    <n v="14210"/>
    <n v="13342"/>
    <n v="12942"/>
    <n v="13288.108562053816"/>
    <n v="13207.627587789395"/>
    <n v="13127.634055901617"/>
    <n v="13048.125014139061"/>
    <n v="12969.097528130957"/>
    <n v="12890.548681278902"/>
    <n v="12812.475574649203"/>
    <n v="12734.875326865898"/>
    <n v="12657.745074004411"/>
    <n v="12581.081969485867"/>
    <n v="12504.88318397201"/>
    <n v="12429.145905260819"/>
    <n v="12353.867338182696"/>
    <n v="12279.044704497295"/>
    <n v="12204.675242791032"/>
    <n v="12130.756208375136"/>
    <n v="12057.284873184353"/>
    <n v="11984.25852567628"/>
    <n v="11911.67447073129"/>
    <n v="11839.530029553058"/>
    <n v="11767.822539569697"/>
    <n v="11696.549354335501"/>
    <n v="11625.707843433265"/>
    <n v="11555.295392377224"/>
    <n v="11485.309402516532"/>
    <n v="11415.747290939387"/>
    <n v="11346.606490377684"/>
    <n v="11277.884449112282"/>
    <n v="11209.578630878823"/>
    <n v="11141.68651477413"/>
    <n v="11074.205595163159"/>
    <n v="11007.133381586556"/>
    <n v="10940.467398668701"/>
    <n v="10874.205186026385"/>
  </r>
  <r>
    <s v="Limestone and Dolomite Use"/>
    <x v="3"/>
    <x v="0"/>
    <n v="0"/>
    <n v="0"/>
    <n v="0"/>
    <n v="0"/>
    <n v="0"/>
    <n v="0"/>
    <n v="0"/>
    <n v="0"/>
    <n v="0"/>
    <n v="0"/>
    <n v="0"/>
    <n v="0"/>
    <n v="0"/>
    <n v="0"/>
    <n v="0"/>
    <n v="0"/>
    <n v="0"/>
    <n v="0"/>
    <n v="0"/>
    <n v="0"/>
    <n v="0"/>
    <n v="0"/>
    <n v="0"/>
    <n v="0"/>
    <n v="0"/>
    <n v="0"/>
    <n v="0"/>
    <n v="0"/>
    <n v="0"/>
    <n v="0"/>
    <n v="0"/>
    <n v="0"/>
    <n v="0"/>
    <n v="0"/>
    <n v="0"/>
    <n v="0"/>
    <n v="0"/>
    <n v="0"/>
    <n v="0"/>
    <n v="0"/>
    <n v="0"/>
    <n v="0"/>
    <n v="0"/>
    <n v="0"/>
    <n v="0"/>
  </r>
  <r>
    <s v="Ammonia Production"/>
    <x v="1"/>
    <x v="0"/>
    <n v="8781"/>
    <n v="9074"/>
    <n v="8414"/>
    <n v="8454"/>
    <n v="9188"/>
    <n v="9292"/>
    <n v="9377"/>
    <n v="9962"/>
    <n v="9619"/>
    <n v="10799"/>
    <n v="12194"/>
    <n v="12535.3"/>
    <n v="12876.599999999999"/>
    <n v="13217.899999999998"/>
    <n v="13559.199999999997"/>
    <n v="13900.499999999996"/>
    <n v="14241.799999999996"/>
    <n v="14583.099999999995"/>
    <n v="14924.399999999994"/>
    <n v="15265.699999999993"/>
    <n v="15606.999999999993"/>
    <n v="15948.299999999992"/>
    <n v="16289.599999999991"/>
    <n v="16630.899999999991"/>
    <n v="16972.19999999999"/>
    <n v="17313.499999999989"/>
    <n v="17654.799999999988"/>
    <n v="17996.099999999988"/>
    <n v="18337.399999999987"/>
    <n v="18678.699999999986"/>
    <n v="19019.999999999985"/>
    <n v="19361.299999999985"/>
    <n v="19702.599999999984"/>
    <n v="20043.899999999983"/>
    <n v="20385.199999999983"/>
    <n v="20726.499999999982"/>
    <n v="21067.799999999981"/>
    <n v="21409.09999999998"/>
    <n v="21750.39999999998"/>
    <n v="22091.699999999979"/>
    <n v="22432.999999999978"/>
    <n v="22774.299999999977"/>
    <n v="23115.599999999977"/>
    <n v="23456.899999999976"/>
    <n v="23798.199999999975"/>
  </r>
  <r>
    <s v="Urea Consumption for Non- Agricultural Purposes"/>
    <x v="2"/>
    <x v="0"/>
    <n v="3519"/>
    <n v="4944"/>
    <n v="4065"/>
    <n v="3427"/>
    <n v="4730"/>
    <n v="4030"/>
    <n v="4407"/>
    <n v="4014"/>
    <n v="1380"/>
    <n v="1128"/>
    <n v="3959"/>
    <n v="4003"/>
    <n v="4047"/>
    <n v="4091"/>
    <n v="4135"/>
    <n v="4179"/>
    <n v="4223"/>
    <n v="4267"/>
    <n v="4311"/>
    <n v="4355"/>
    <n v="4399"/>
    <n v="4443"/>
    <n v="4487"/>
    <n v="4531"/>
    <n v="4575"/>
    <n v="4619"/>
    <n v="4663"/>
    <n v="4707"/>
    <n v="4751"/>
    <n v="4795"/>
    <n v="4839"/>
    <n v="4883"/>
    <n v="4927"/>
    <n v="4971"/>
    <n v="5015"/>
    <n v="5059"/>
    <n v="5103"/>
    <n v="5147"/>
    <n v="5191"/>
    <n v="5235"/>
    <n v="5279"/>
    <n v="5323"/>
    <n v="5367"/>
    <n v="5411"/>
    <n v="5455"/>
  </r>
  <r>
    <s v="Soda Ash Production and Consumption"/>
    <x v="1"/>
    <x v="0"/>
    <n v="2902"/>
    <n v="2937"/>
    <n v="2960"/>
    <n v="2569"/>
    <n v="2697"/>
    <n v="2712"/>
    <n v="2763"/>
    <n v="2804"/>
    <n v="2827"/>
    <n v="2789"/>
    <n v="1723"/>
    <n v="2720.7520772157445"/>
    <n v="2709.703162945887"/>
    <n v="2698.6991180735631"/>
    <n v="2687.7397603851373"/>
    <n v="2676.8249084069403"/>
    <n v="2665.9543814022622"/>
    <n v="2655.1279993683629"/>
    <n v="2644.3455830334865"/>
    <n v="2633.6069538539"/>
    <n v="2622.9119340109269"/>
    <n v="2612.2603464080125"/>
    <n v="2601.6520146677885"/>
    <n v="2591.0867631291453"/>
    <n v="2580.5644168443382"/>
    <n v="2570.0848015760721"/>
    <n v="2559.6477437946305"/>
    <n v="2549.2530706749972"/>
    <n v="2538.9006100939946"/>
    <n v="2528.5901906274303"/>
    <n v="2518.3216415472684"/>
    <n v="2508.0947928187884"/>
    <n v="2497.9094750977824"/>
    <n v="2487.7655197277427"/>
    <n v="2477.6627587370731"/>
    <n v="2467.6010248363059"/>
    <n v="2457.5801514153331"/>
    <n v="2447.5999725406446"/>
    <n v="2437.6603229525863"/>
    <n v="2427.7610380626161"/>
    <n v="2417.9019539505853"/>
    <n v="2408.0829073620189"/>
    <n v="2398.3037357054168"/>
    <n v="2388.5642770495565"/>
    <n v="2378.8643701208184"/>
  </r>
  <r>
    <s v="Petrochemical Production"/>
    <x v="4"/>
    <x v="0"/>
    <n v="27187"/>
    <n v="27627"/>
    <n v="24352"/>
    <n v="23403"/>
    <n v="27262"/>
    <n v="26338"/>
    <n v="26501"/>
    <n v="26395"/>
    <n v="26496"/>
    <n v="28062"/>
    <n v="28110"/>
    <n v="28202.3"/>
    <n v="28294.6"/>
    <n v="28386.899999999998"/>
    <n v="28479.199999999997"/>
    <n v="28571.499999999996"/>
    <n v="28663.799999999996"/>
    <n v="28756.099999999995"/>
    <n v="28848.399999999994"/>
    <n v="28940.699999999993"/>
    <n v="29032.999999999993"/>
    <n v="29125.299999999992"/>
    <n v="29217.599999999991"/>
    <n v="29309.899999999991"/>
    <n v="29402.19999999999"/>
    <n v="29494.499999999989"/>
    <n v="29586.799999999988"/>
    <n v="29679.099999999988"/>
    <n v="29771.399999999987"/>
    <n v="29863.699999999986"/>
    <n v="29955.999999999985"/>
    <n v="30048.299999999985"/>
    <n v="30140.599999999984"/>
    <n v="30232.899999999983"/>
    <n v="30325.199999999983"/>
    <n v="30417.499999999982"/>
    <n v="30509.799999999981"/>
    <n v="30602.09999999998"/>
    <n v="30694.39999999998"/>
    <n v="30786.699999999979"/>
    <n v="30878.999999999978"/>
    <n v="30971.299999999977"/>
    <n v="31063.599999999977"/>
    <n v="31155.899999999976"/>
    <n v="31248.199999999975"/>
  </r>
  <r>
    <s v="Carbon Dioxide Consumption"/>
    <x v="2"/>
    <x v="0"/>
    <n v="1758"/>
    <n v="1922"/>
    <n v="1834"/>
    <n v="1795"/>
    <n v="4425"/>
    <n v="4083"/>
    <n v="4019"/>
    <n v="4188"/>
    <n v="4471"/>
    <n v="4296"/>
    <n v="4471"/>
    <n v="4742.3"/>
    <n v="5013.6000000000004"/>
    <n v="5284.9000000000005"/>
    <n v="5556.2000000000007"/>
    <n v="5827.5000000000009"/>
    <n v="6098.8000000000011"/>
    <n v="6370.1000000000013"/>
    <n v="6641.4000000000015"/>
    <n v="6912.7000000000016"/>
    <n v="7184.0000000000018"/>
    <n v="7455.300000000002"/>
    <n v="7726.6000000000022"/>
    <n v="7997.9000000000024"/>
    <n v="8269.2000000000025"/>
    <n v="8540.5000000000018"/>
    <n v="8811.8000000000011"/>
    <n v="9083.1"/>
    <n v="9354.4"/>
    <n v="9625.6999999999989"/>
    <n v="9896.9999999999982"/>
    <n v="10168.299999999997"/>
    <n v="10439.599999999997"/>
    <n v="10710.899999999996"/>
    <n v="10982.199999999995"/>
    <n v="11253.499999999995"/>
    <n v="11524.799999999994"/>
    <n v="11796.099999999993"/>
    <n v="12067.399999999992"/>
    <n v="12338.699999999992"/>
    <n v="12609.999999999991"/>
    <n v="12881.29999999999"/>
    <n v="13152.599999999989"/>
    <n v="13423.899999999989"/>
    <n v="13695.199999999988"/>
  </r>
  <r>
    <s v="Titanium Dioxide Production"/>
    <x v="2"/>
    <x v="0"/>
    <n v="1836"/>
    <n v="1930"/>
    <n v="1809"/>
    <n v="1648"/>
    <n v="1769"/>
    <n v="1729"/>
    <n v="1528"/>
    <n v="1715"/>
    <n v="1688"/>
    <n v="1635"/>
    <n v="1608"/>
    <n v="1563.6094251569864"/>
    <n v="1540.1171774595696"/>
    <n v="1516.9778860010949"/>
    <n v="1494.186247836172"/>
    <n v="1471.7370396928297"/>
    <n v="1449.6251167754715"/>
    <n v="1427.8454115858162"/>
    <n v="1406.3929327615558"/>
    <n v="1385.2627639324612"/>
    <n v="1364.4500625936716"/>
    <n v="1343.9500589959141"/>
    <n v="1323.7580550523974"/>
    <n v="1303.8694232621285"/>
    <n v="1284.2796056494046"/>
    <n v="1264.9841127192394"/>
    <n v="1245.9785224284842"/>
    <n v="1227.2584791724055"/>
    <n v="1208.8196927864908"/>
    <n v="1190.6579375632489"/>
    <n v="1172.7690512837853"/>
    <n v="1155.1489342639243"/>
    <n v="1137.7935484146674"/>
    <n v="1120.6989163167596"/>
    <n v="1103.8611203091689"/>
    <n v="1087.2763015912544"/>
    <n v="1070.9406593384276"/>
    <n v="1054.850449831097"/>
    <n v="1039.0019855967021"/>
    <n v="1023.3916345646375"/>
    <n v="1008.0158192338731"/>
    <n v="992.87101585308073"/>
    <n v="977.95375361307833"/>
    <n v="963.26061385140804"/>
    <n v="948.78822926886392"/>
  </r>
  <r>
    <s v="Zinc Production"/>
    <x v="2"/>
    <x v="0"/>
    <n v="1030"/>
    <n v="1025"/>
    <n v="1159"/>
    <n v="943"/>
    <n v="1182"/>
    <n v="1286"/>
    <n v="1486"/>
    <n v="1429"/>
    <n v="956"/>
    <n v="933"/>
    <n v="925"/>
    <n v="1178.3203995083081"/>
    <n v="1186.3296279436959"/>
    <n v="1194.3932963600573"/>
    <n v="1202.5117747944755"/>
    <n v="1210.685435799234"/>
    <n v="1218.9146544589119"/>
    <n v="1227.1998084075976"/>
    <n v="1235.5412778462171"/>
    <n v="1243.939445559982"/>
    <n v="1252.3946969359547"/>
    <n v="1260.9074199807342"/>
    <n v="1269.478005338261"/>
    <n v="1278.1068463077434"/>
    <n v="1286.7943388617073"/>
    <n v="1295.5408816641636"/>
    <n v="1304.3468760889075"/>
    <n v="1313.2127262379329"/>
    <n v="1322.1388389599792"/>
    <n v="1331.1256238692001"/>
    <n v="1340.1734933639618"/>
    <n v="1349.2828626457649"/>
    <n v="1358.4541497383027"/>
    <n v="1367.6877755066371"/>
    <n v="1376.9841636765191"/>
    <n v="1386.3437408538289"/>
    <n v="1395.7669365441534"/>
    <n v="1405.2541831724968"/>
    <n v="1414.8059161031238"/>
    <n v="1424.4225736595367"/>
    <n v="1434.1045971445951"/>
    <n v="1443.8524308607589"/>
    <n v="1453.6665221304838"/>
    <n v="1463.5473213167465"/>
    <n v="1473.4952818437109"/>
  </r>
  <r>
    <s v="Phosphoric Acid Production"/>
    <x v="1"/>
    <x v="0"/>
    <n v="1160"/>
    <n v="1203"/>
    <n v="1132"/>
    <n v="977"/>
    <n v="1087"/>
    <n v="1171"/>
    <n v="1118"/>
    <n v="1149"/>
    <n v="1038"/>
    <n v="999"/>
    <n v="992"/>
    <n v="1024.6386724981469"/>
    <n v="1013.373848784812"/>
    <n v="1002.2328699513342"/>
    <n v="991.21437445361346"/>
    <n v="980.31701571629378"/>
    <n v="969.53946196819788"/>
    <n v="958.88039607957069"/>
    <n v="948.33851540111277"/>
    <n v="937.9125316047822"/>
    <n v="927.60117052634871"/>
    <n v="917.40317200967502"/>
    <n v="907.31728975271608"/>
    <n v="897.34229115520441"/>
    <n v="887.4769571680165"/>
    <n v="877.72008214418929"/>
    <n v="868.07047369158022"/>
    <n v="858.52695252714329"/>
    <n v="849.08835233280763"/>
    <n v="839.75351961294234"/>
    <n v="830.52131355338679"/>
    <n v="821.39060588203131"/>
    <n v="812.36028073093098"/>
    <n v="803.42923449993327"/>
    <n v="794.59637572180861"/>
    <n v="785.86062492886037"/>
    <n v="777.22091452100381"/>
    <n v="768.67618863529231"/>
    <n v="760.22540301688161"/>
    <n v="751.86752489141065"/>
    <n v="743.60153283878435"/>
    <n v="735.42641666834754"/>
    <n v="727.34117729542754"/>
    <n v="719.3448266192363"/>
    <n v="711.43638740211338"/>
  </r>
  <r>
    <s v="Lead Production"/>
    <x v="2"/>
    <x v="0"/>
    <n v="560"/>
    <n v="562"/>
    <n v="547"/>
    <n v="525"/>
    <n v="542"/>
    <n v="538"/>
    <n v="527"/>
    <n v="546"/>
    <n v="459"/>
    <n v="473"/>
    <n v="482"/>
    <n v="469.16060352470362"/>
    <n v="460.86978891153348"/>
    <n v="452.72548618881945"/>
    <n v="444.72510625825862"/>
    <n v="436.8661057750362"/>
    <n v="429.14598633928802"/>
    <n v="421.56229370185247"/>
    <n v="414.11261698405696"/>
    <n v="406.79458791129247"/>
    <n v="399.60588006013143"/>
    <n v="392.54420811875144"/>
    <n v="385.60732716042764"/>
    <n v="378.79303192986322"/>
    <n v="372.09915614213253"/>
    <n v="365.52357179401264"/>
    <n v="359.06418848748484"/>
    <n v="352.71895276519052"/>
    <n v="346.48584745763088"/>
    <n v="340.36289104190297"/>
    <n v="334.34813701176739"/>
    <n v="328.4396732588483"/>
    <n v="322.63562146476818"/>
    <n v="316.93413650402482"/>
    <n v="311.33340585742081"/>
    <n v="305.83164903585759"/>
    <n v="300.42711701431313"/>
    <n v="295.11809167582112"/>
    <n v="289.90288526527701"/>
    <n v="284.77983985289512"/>
    <n v="279.747326807148"/>
    <n v="274.80374627701974"/>
    <n v="269.94752668340783"/>
    <n v="265.1771242195145"/>
    <n v="260.49102236006496"/>
  </r>
  <r>
    <s v="Field Burning of Agricultural Residues"/>
    <x v="5"/>
    <x v="0"/>
    <n v="0"/>
    <n v="0"/>
    <n v="0"/>
    <n v="0"/>
    <n v="0"/>
    <n v="0"/>
    <n v="0"/>
    <n v="0"/>
    <n v="0"/>
    <n v="0"/>
    <n v="0"/>
    <n v="0"/>
    <n v="0"/>
    <n v="0"/>
    <n v="0"/>
    <n v="0"/>
    <n v="0"/>
    <n v="0"/>
    <n v="0"/>
    <n v="0"/>
    <n v="0"/>
    <n v="0"/>
    <n v="0"/>
    <n v="0"/>
    <n v="0"/>
    <n v="0"/>
    <n v="0"/>
    <n v="0"/>
    <n v="0"/>
    <n v="0"/>
    <n v="0"/>
    <n v="0"/>
    <n v="0"/>
    <n v="0"/>
    <n v="0"/>
    <n v="0"/>
    <n v="0"/>
    <n v="0"/>
    <n v="0"/>
    <n v="0"/>
    <n v="0"/>
    <n v="0"/>
    <n v="0"/>
    <n v="0"/>
    <n v="0"/>
  </r>
  <r>
    <s v="Wastewater Treatment (Industrial)"/>
    <x v="6"/>
    <x v="0"/>
    <n v="0"/>
    <n v="0"/>
    <n v="0"/>
    <n v="0"/>
    <n v="0"/>
    <n v="0"/>
    <n v="0"/>
    <n v="0"/>
    <n v="0"/>
    <n v="0"/>
    <n v="0"/>
    <n v="0"/>
    <n v="0"/>
    <n v="0"/>
    <n v="0"/>
    <n v="0"/>
    <n v="0"/>
    <n v="0"/>
    <n v="0"/>
    <n v="0"/>
    <n v="0"/>
    <n v="0"/>
    <n v="0"/>
    <n v="0"/>
    <n v="0"/>
    <n v="0"/>
    <n v="0"/>
    <n v="0"/>
    <n v="0"/>
    <n v="0"/>
    <n v="0"/>
    <n v="0"/>
    <n v="0"/>
    <n v="0"/>
    <n v="0"/>
    <n v="0"/>
    <n v="0"/>
    <n v="0"/>
    <n v="0"/>
    <n v="0"/>
    <n v="0"/>
    <n v="0"/>
    <n v="0"/>
    <n v="0"/>
    <n v="0"/>
  </r>
  <r>
    <s v="Composting"/>
    <x v="6"/>
    <x v="0"/>
    <n v="0"/>
    <n v="0"/>
    <n v="0"/>
    <n v="0"/>
    <n v="0"/>
    <n v="0"/>
    <n v="0"/>
    <n v="0"/>
    <n v="0"/>
    <n v="0"/>
    <n v="0"/>
    <n v="0"/>
    <n v="0"/>
    <n v="0"/>
    <n v="0"/>
    <n v="0"/>
    <n v="0"/>
    <n v="0"/>
    <n v="0"/>
    <n v="0"/>
    <n v="0"/>
    <n v="0"/>
    <n v="0"/>
    <n v="0"/>
    <n v="0"/>
    <n v="0"/>
    <n v="0"/>
    <n v="0"/>
    <n v="0"/>
    <n v="0"/>
    <n v="0"/>
    <n v="0"/>
    <n v="0"/>
    <n v="0"/>
    <n v="0"/>
    <n v="0"/>
    <n v="0"/>
    <n v="0"/>
    <n v="0"/>
    <n v="0"/>
    <n v="0"/>
    <n v="0"/>
    <n v="0"/>
    <n v="0"/>
    <n v="0"/>
  </r>
  <r>
    <s v="N₂O from Product Uses"/>
    <x v="2"/>
    <x v="0"/>
    <n v="0"/>
    <n v="0"/>
    <n v="0"/>
    <n v="0"/>
    <n v="0"/>
    <n v="0"/>
    <n v="0"/>
    <n v="0"/>
    <n v="0"/>
    <n v="0"/>
    <n v="0"/>
    <n v="0"/>
    <n v="0"/>
    <n v="0"/>
    <n v="0"/>
    <n v="0"/>
    <n v="0"/>
    <n v="0"/>
    <n v="0"/>
    <n v="0"/>
    <n v="0"/>
    <n v="0"/>
    <n v="0"/>
    <n v="0"/>
    <n v="0"/>
    <n v="0"/>
    <n v="0"/>
    <n v="0"/>
    <n v="0"/>
    <n v="0"/>
    <n v="0"/>
    <n v="0"/>
    <n v="0"/>
    <n v="0"/>
    <n v="0"/>
    <n v="0"/>
    <n v="0"/>
    <n v="0"/>
    <n v="0"/>
    <n v="0"/>
    <n v="0"/>
    <n v="0"/>
    <n v="0"/>
    <n v="0"/>
    <n v="0"/>
  </r>
  <r>
    <s v="Other Process Uses of Carbonates"/>
    <x v="3"/>
    <x v="0"/>
    <n v="7284"/>
    <n v="7365"/>
    <n v="5885"/>
    <n v="7583"/>
    <n v="9560"/>
    <n v="9335"/>
    <n v="8022"/>
    <n v="10414"/>
    <n v="11811"/>
    <n v="11236"/>
    <n v="10986"/>
    <n v="11356.2"/>
    <n v="11726.400000000001"/>
    <n v="12096.600000000002"/>
    <n v="12466.800000000003"/>
    <n v="12837.000000000004"/>
    <n v="13207.200000000004"/>
    <n v="13577.400000000005"/>
    <n v="13947.600000000006"/>
    <n v="14317.800000000007"/>
    <n v="14688.000000000007"/>
    <n v="15058.200000000008"/>
    <n v="15428.400000000009"/>
    <n v="15798.600000000009"/>
    <n v="16168.80000000001"/>
    <n v="16539.000000000011"/>
    <n v="16909.200000000012"/>
    <n v="17279.400000000012"/>
    <n v="17649.600000000013"/>
    <n v="18019.800000000014"/>
    <n v="18390.000000000015"/>
    <n v="18760.200000000015"/>
    <n v="19130.400000000016"/>
    <n v="19500.600000000017"/>
    <n v="19870.800000000017"/>
    <n v="20241.000000000018"/>
    <n v="20611.200000000019"/>
    <n v="20981.40000000002"/>
    <n v="21351.60000000002"/>
    <n v="21721.800000000021"/>
    <n v="22092.000000000022"/>
    <n v="22462.200000000023"/>
    <n v="22832.400000000023"/>
    <n v="23202.600000000024"/>
    <n v="23572.800000000025"/>
  </r>
  <r>
    <s v="Urea Fertilization"/>
    <x v="2"/>
    <x v="0"/>
    <n v="3656"/>
    <n v="3757"/>
    <n v="3613"/>
    <n v="3555"/>
    <n v="3778"/>
    <n v="4097"/>
    <n v="4267"/>
    <n v="4504"/>
    <n v="4781"/>
    <n v="5032"/>
    <n v="5098"/>
    <n v="5242.2"/>
    <n v="5386.4"/>
    <n v="5530.5999999999995"/>
    <n v="5674.7999999999993"/>
    <n v="5818.9999999999991"/>
    <n v="5963.1999999999989"/>
    <n v="6107.3999999999987"/>
    <n v="6251.5999999999985"/>
    <n v="6395.7999999999984"/>
    <n v="6539.9999999999982"/>
    <n v="6684.199999999998"/>
    <n v="6828.3999999999978"/>
    <n v="6972.5999999999976"/>
    <n v="7116.7999999999975"/>
    <n v="7260.9999999999973"/>
    <n v="7405.1999999999971"/>
    <n v="7549.3999999999969"/>
    <n v="7693.5999999999967"/>
    <n v="7837.7999999999965"/>
    <n v="7981.9999999999964"/>
    <n v="8126.1999999999962"/>
    <n v="8270.399999999996"/>
    <n v="8414.5999999999967"/>
    <n v="8558.7999999999975"/>
    <n v="8702.9999999999982"/>
    <n v="8847.1999999999989"/>
    <n v="8991.4"/>
    <n v="9135.6"/>
    <n v="9279.8000000000011"/>
    <n v="9424.0000000000018"/>
    <n v="9568.2000000000025"/>
    <n v="9712.4000000000033"/>
    <n v="9856.600000000004"/>
    <n v="10000.800000000005"/>
  </r>
  <r>
    <s v="Incineration of Waste"/>
    <x v="7"/>
    <x v="0"/>
    <n v="12528"/>
    <n v="12733"/>
    <n v="11892"/>
    <n v="11318"/>
    <n v="11047"/>
    <n v="10564"/>
    <n v="10379"/>
    <n v="10398"/>
    <n v="10608"/>
    <n v="10676"/>
    <n v="10676"/>
    <n v="9669.6998181992094"/>
    <n v="9455.6422781039055"/>
    <n v="9246.323316385713"/>
    <n v="9041.6380354314624"/>
    <n v="8841.4838597398939"/>
    <n v="8645.7604845171991"/>
    <n v="8454.3698254105147"/>
    <n v="8267.2159693541689"/>
    <n v="8084.2051265040218"/>
    <n v="7905.2455832358492"/>
    <n v="7730.2476561841822"/>
    <n v="7559.1236472986193"/>
    <n v="7391.7877998950007"/>
    <n v="7228.1562556795316"/>
    <n v="7068.1470127242137"/>
    <n v="6911.6798843726046"/>
    <n v="6758.6764590552602"/>
    <n v="6609.0600609947442"/>
    <n v="6462.75571178051"/>
    <n v="6319.6900927943925"/>
    <n v="6179.7915084678998"/>
    <n v="6042.9898503528466"/>
    <n v="5909.2165619873867"/>
    <n v="5778.4046045397763"/>
    <n v="5650.4884232127024"/>
    <n v="5525.4039143912942"/>
    <n v="5403.0883935184038"/>
    <n v="5283.4805636809906"/>
    <n v="5166.5204848919557"/>
    <n v="5052.1495440519411"/>
    <n v="4940.3104255761036"/>
    <n v="4830.9470826711176"/>
    <n v="4724.0047092480163"/>
    <n v="4619.4297124567956"/>
  </r>
  <r>
    <s v="Liming"/>
    <x v="2"/>
    <x v="0"/>
    <n v="4220"/>
    <n v="4464"/>
    <n v="5025"/>
    <n v="3669"/>
    <n v="4784"/>
    <n v="3873"/>
    <n v="5978"/>
    <n v="3907"/>
    <n v="3609"/>
    <n v="3810"/>
    <n v="3863"/>
    <n v="3892.610646648091"/>
    <n v="3836.0942117480117"/>
    <n v="3780.3983334624413"/>
    <n v="3725.511098209804"/>
    <n v="3671.4207653806516"/>
    <n v="3618.1157648263043"/>
    <n v="3565.5846943839438"/>
    <n v="3513.8163174376409"/>
    <n v="3462.7995605148021"/>
    <n v="3412.5235109175023"/>
    <n v="3362.977414388215"/>
    <n v="3314.1506728094319"/>
    <n v="3266.0328419366797"/>
    <n v="3218.6136291644539"/>
    <n v="3171.8828913245889"/>
    <n v="3125.8306325165877"/>
    <n v="3080.4470019694586"/>
    <n v="3035.7222919345973"/>
    <n v="2991.6469356092539"/>
    <n v="2948.2115050901562"/>
    <n v="2905.4067093568433"/>
    <n v="2863.2233922842724"/>
    <n v="2821.6525306842932"/>
    <n v="2780.6852323755393"/>
    <n v="2740.3127342813655"/>
    <n v="2700.5264005553786"/>
    <n v="2661.3177207342005"/>
    <n v="2622.6783079170418"/>
    <n v="2584.5998969717102"/>
    <n v="2547.074342766658"/>
    <n v="2510.0936184287161"/>
    <n v="2473.6498136260998"/>
    <n v="2437.735132876363"/>
    <n v="2402.3418938789109"/>
  </r>
  <r>
    <s v="Glass Production"/>
    <x v="2"/>
    <x v="0"/>
    <n v="2050"/>
    <n v="1536"/>
    <n v="1523"/>
    <n v="1045"/>
    <n v="1481"/>
    <n v="1299"/>
    <n v="1248"/>
    <n v="1317"/>
    <n v="1336"/>
    <n v="1299"/>
    <n v="1243"/>
    <n v="1125.6745700838551"/>
    <n v="1089.3785270005701"/>
    <n v="1054.2528068316649"/>
    <n v="1020.2596739010827"/>
    <n v="987.36260927494175"/>
    <n v="955.52627152912385"/>
    <n v="924.71645878186791"/>
    <n v="894.9000719505749"/>
    <n v="866.04507919335776"/>
    <n v="838.12048149712712"/>
    <n v="811.09627937524999"/>
    <n v="784.94344063900371"/>
    <n v="759.6338692082013"/>
    <n v="735.14037492747889"/>
    <n v="711.43664435582502"/>
    <n v="688.49721249796301"/>
    <n v="666.29743544722442"/>
    <n v="644.81346391051864"/>
    <n v="624.02221758696078"/>
    <n v="603.90136037262755"/>
    <n v="584.42927636480749"/>
    <n v="565.58504663996803"/>
    <n v="547.34842678048528"/>
    <n v="529.69982512600097"/>
    <n v="512.620281726038"/>
    <n v="496.09144797126288"/>
    <n v="480.09556688151531"/>
    <n v="464.61545402942551"/>
    <n v="449.63447907912899"/>
    <n v="435.13654792024096"/>
    <n v="421.10608537790199"/>
    <n v="407.52801848031618"/>
    <n v="394.38776026580797"/>
    <n v="381.67119411200235"/>
  </r>
  <r>
    <s v="Abandoned Underground Coal Mines"/>
    <x v="0"/>
    <x v="1"/>
    <n v="261"/>
    <n v="254"/>
    <n v="253"/>
    <n v="254"/>
    <n v="263"/>
    <n v="257"/>
    <n v="249"/>
    <n v="249"/>
    <n v="253"/>
    <n v="256"/>
    <n v="268"/>
    <n v="268.7"/>
    <n v="269.39999999999998"/>
    <n v="270.09999999999997"/>
    <n v="270.79999999999995"/>
    <n v="271.49999999999994"/>
    <n v="272.19999999999993"/>
    <n v="272.89999999999992"/>
    <n v="273.59999999999991"/>
    <n v="274.2999999999999"/>
    <n v="274.99999999999989"/>
    <n v="275.69999999999987"/>
    <n v="276.39999999999986"/>
    <n v="277.09999999999985"/>
    <n v="277.79999999999984"/>
    <n v="278.49999999999983"/>
    <n v="279.19999999999982"/>
    <n v="279.89999999999981"/>
    <n v="280.5999999999998"/>
    <n v="281.29999999999978"/>
    <n v="281.99999999999977"/>
    <n v="282.69999999999976"/>
    <n v="283.39999999999975"/>
    <n v="284.09999999999974"/>
    <n v="284.79999999999973"/>
    <n v="285.49999999999972"/>
    <n v="286.1999999999997"/>
    <n v="286.89999999999969"/>
    <n v="287.59999999999968"/>
    <n v="288.29999999999967"/>
    <n v="288.99999999999966"/>
    <n v="289.69999999999965"/>
    <n v="290.39999999999964"/>
    <n v="291.09999999999962"/>
    <n v="291.79999999999961"/>
  </r>
  <r>
    <s v="Nitric Acid Production"/>
    <x v="1"/>
    <x v="1"/>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1"/>
    <n v="0"/>
    <n v="0"/>
    <n v="0"/>
    <n v="0"/>
    <n v="0"/>
    <n v="0"/>
    <n v="0"/>
    <n v="0"/>
    <n v="0"/>
    <n v="0"/>
    <n v="0"/>
    <n v="0"/>
    <n v="0"/>
    <n v="0"/>
    <n v="0"/>
    <n v="0"/>
    <n v="0"/>
    <n v="0"/>
    <n v="0"/>
    <n v="0"/>
    <n v="0"/>
    <n v="0"/>
    <n v="0"/>
    <n v="0"/>
    <n v="0"/>
    <n v="0"/>
    <n v="0"/>
    <n v="0"/>
    <n v="0"/>
    <n v="0"/>
    <n v="0"/>
    <n v="0"/>
    <n v="0"/>
    <n v="0"/>
    <n v="0"/>
    <n v="0"/>
    <n v="0"/>
    <n v="0"/>
    <n v="0"/>
    <n v="0"/>
    <n v="0"/>
    <n v="0"/>
    <n v="0"/>
    <n v="0"/>
    <n v="0"/>
  </r>
  <r>
    <s v="Ferroalloy Production"/>
    <x v="2"/>
    <x v="1"/>
    <n v="0"/>
    <n v="0"/>
    <n v="0"/>
    <n v="0"/>
    <n v="0"/>
    <n v="0"/>
    <n v="1"/>
    <n v="0"/>
    <n v="1"/>
    <n v="1"/>
    <n v="1"/>
    <n v="1.1000000000000001"/>
    <n v="1.2000000000000002"/>
    <n v="1.3000000000000003"/>
    <n v="1.4000000000000004"/>
    <n v="1.5000000000000004"/>
    <n v="1.6000000000000005"/>
    <n v="1.7000000000000006"/>
    <n v="1.8000000000000007"/>
    <n v="1.9000000000000008"/>
    <n v="2.0000000000000009"/>
    <n v="2.100000000000001"/>
    <n v="2.2000000000000011"/>
    <n v="2.3000000000000012"/>
    <n v="2.4000000000000012"/>
    <n v="2.5000000000000013"/>
    <n v="2.6000000000000014"/>
    <n v="2.7000000000000015"/>
    <n v="2.8000000000000016"/>
    <n v="2.9000000000000017"/>
    <n v="3.0000000000000018"/>
    <n v="3.1000000000000019"/>
    <n v="3.200000000000002"/>
    <n v="3.300000000000002"/>
    <n v="3.4000000000000021"/>
    <n v="3.5000000000000022"/>
    <n v="3.6000000000000023"/>
    <n v="3.7000000000000024"/>
    <n v="3.8000000000000025"/>
    <n v="3.9000000000000026"/>
    <n v="4.0000000000000027"/>
    <n v="4.1000000000000023"/>
    <n v="4.200000000000002"/>
    <n v="4.3000000000000016"/>
    <n v="4.4000000000000012"/>
  </r>
  <r>
    <s v="Lime Production"/>
    <x v="3"/>
    <x v="1"/>
    <n v="0"/>
    <n v="0"/>
    <n v="0"/>
    <n v="0"/>
    <n v="0"/>
    <n v="0"/>
    <n v="0"/>
    <n v="0"/>
    <n v="0"/>
    <n v="0"/>
    <n v="0"/>
    <n v="0"/>
    <n v="0"/>
    <n v="0"/>
    <n v="0"/>
    <n v="0"/>
    <n v="0"/>
    <n v="0"/>
    <n v="0"/>
    <n v="0"/>
    <n v="0"/>
    <n v="0"/>
    <n v="0"/>
    <n v="0"/>
    <n v="0"/>
    <n v="0"/>
    <n v="0"/>
    <n v="0"/>
    <n v="0"/>
    <n v="0"/>
    <n v="0"/>
    <n v="0"/>
    <n v="0"/>
    <n v="0"/>
    <n v="0"/>
    <n v="0"/>
    <n v="0"/>
    <n v="0"/>
    <n v="0"/>
    <n v="0"/>
    <n v="0"/>
    <n v="0"/>
    <n v="0"/>
    <n v="0"/>
    <n v="0"/>
  </r>
  <r>
    <s v="Limestone and Dolomite Use"/>
    <x v="3"/>
    <x v="1"/>
    <n v="0"/>
    <n v="0"/>
    <n v="0"/>
    <n v="0"/>
    <n v="0"/>
    <n v="0"/>
    <n v="0"/>
    <n v="0"/>
    <n v="0"/>
    <n v="0"/>
    <n v="0"/>
    <n v="0"/>
    <n v="0"/>
    <n v="0"/>
    <n v="0"/>
    <n v="0"/>
    <n v="0"/>
    <n v="0"/>
    <n v="0"/>
    <n v="0"/>
    <n v="0"/>
    <n v="0"/>
    <n v="0"/>
    <n v="0"/>
    <n v="0"/>
    <n v="0"/>
    <n v="0"/>
    <n v="0"/>
    <n v="0"/>
    <n v="0"/>
    <n v="0"/>
    <n v="0"/>
    <n v="0"/>
    <n v="0"/>
    <n v="0"/>
    <n v="0"/>
    <n v="0"/>
    <n v="0"/>
    <n v="0"/>
    <n v="0"/>
    <n v="0"/>
    <n v="0"/>
    <n v="0"/>
    <n v="0"/>
    <n v="0"/>
  </r>
  <r>
    <s v="Ammonia Production"/>
    <x v="1"/>
    <x v="1"/>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1"/>
    <n v="0"/>
    <n v="0"/>
    <n v="0"/>
    <n v="0"/>
    <n v="0"/>
    <n v="0"/>
    <n v="0"/>
    <n v="0"/>
    <n v="0"/>
    <n v="0"/>
    <n v="0"/>
    <n v="0"/>
    <n v="0"/>
    <n v="0"/>
    <n v="0"/>
    <n v="0"/>
    <n v="0"/>
    <n v="0"/>
    <n v="0"/>
    <n v="0"/>
    <n v="0"/>
    <n v="0"/>
    <n v="0"/>
    <n v="0"/>
    <n v="0"/>
    <n v="0"/>
    <n v="0"/>
    <n v="0"/>
    <n v="0"/>
    <n v="0"/>
    <n v="0"/>
    <n v="0"/>
    <n v="0"/>
    <n v="0"/>
    <n v="0"/>
    <n v="0"/>
    <n v="0"/>
    <n v="0"/>
    <n v="0"/>
    <n v="0"/>
    <n v="0"/>
    <n v="0"/>
    <n v="0"/>
    <n v="0"/>
    <n v="0"/>
  </r>
  <r>
    <s v="Soda Ash Production and Consumption"/>
    <x v="1"/>
    <x v="1"/>
    <n v="0"/>
    <n v="0"/>
    <n v="0"/>
    <n v="0"/>
    <n v="0"/>
    <n v="0"/>
    <n v="0"/>
    <n v="0"/>
    <n v="0"/>
    <n v="0"/>
    <n v="0"/>
    <n v="0"/>
    <n v="0"/>
    <n v="0"/>
    <n v="0"/>
    <n v="0"/>
    <n v="0"/>
    <n v="0"/>
    <n v="0"/>
    <n v="0"/>
    <n v="0"/>
    <n v="0"/>
    <n v="0"/>
    <n v="0"/>
    <n v="0"/>
    <n v="0"/>
    <n v="0"/>
    <n v="0"/>
    <n v="0"/>
    <n v="0"/>
    <n v="0"/>
    <n v="0"/>
    <n v="0"/>
    <n v="0"/>
    <n v="0"/>
    <n v="0"/>
    <n v="0"/>
    <n v="0"/>
    <n v="0"/>
    <n v="0"/>
    <n v="0"/>
    <n v="0"/>
    <n v="0"/>
    <n v="0"/>
    <n v="0"/>
  </r>
  <r>
    <s v="Petrochemical Production"/>
    <x v="4"/>
    <x v="1"/>
    <n v="2"/>
    <n v="2"/>
    <n v="2"/>
    <n v="2"/>
    <n v="2"/>
    <n v="2"/>
    <n v="3"/>
    <n v="3"/>
    <n v="5"/>
    <n v="7"/>
    <n v="10"/>
    <n v="10.8"/>
    <n v="11.600000000000001"/>
    <n v="12.400000000000002"/>
    <n v="13.200000000000003"/>
    <n v="14.000000000000004"/>
    <n v="14.800000000000004"/>
    <n v="15.600000000000005"/>
    <n v="16.400000000000006"/>
    <n v="17.200000000000006"/>
    <n v="18.000000000000007"/>
    <n v="18.800000000000008"/>
    <n v="19.600000000000009"/>
    <n v="20.400000000000009"/>
    <n v="21.20000000000001"/>
    <n v="22.000000000000011"/>
    <n v="22.800000000000011"/>
    <n v="23.600000000000012"/>
    <n v="24.400000000000013"/>
    <n v="25.200000000000014"/>
    <n v="26.000000000000014"/>
    <n v="26.800000000000015"/>
    <n v="27.600000000000016"/>
    <n v="28.400000000000016"/>
    <n v="29.200000000000017"/>
    <n v="30.000000000000018"/>
    <n v="30.800000000000018"/>
    <n v="31.600000000000019"/>
    <n v="32.40000000000002"/>
    <n v="33.200000000000017"/>
    <n v="34.000000000000014"/>
    <n v="34.800000000000011"/>
    <n v="35.600000000000009"/>
    <n v="36.400000000000006"/>
    <n v="37.200000000000003"/>
  </r>
  <r>
    <s v="Carbon Dioxide Consumption"/>
    <x v="2"/>
    <x v="1"/>
    <n v="0"/>
    <n v="0"/>
    <n v="0"/>
    <n v="0"/>
    <n v="0"/>
    <n v="0"/>
    <n v="0"/>
    <n v="0"/>
    <n v="0"/>
    <n v="0"/>
    <n v="0"/>
    <n v="0"/>
    <n v="0"/>
    <n v="0"/>
    <n v="0"/>
    <n v="0"/>
    <n v="0"/>
    <n v="0"/>
    <n v="0"/>
    <n v="0"/>
    <n v="0"/>
    <n v="0"/>
    <n v="0"/>
    <n v="0"/>
    <n v="0"/>
    <n v="0"/>
    <n v="0"/>
    <n v="0"/>
    <n v="0"/>
    <n v="0"/>
    <n v="0"/>
    <n v="0"/>
    <n v="0"/>
    <n v="0"/>
    <n v="0"/>
    <n v="0"/>
    <n v="0"/>
    <n v="0"/>
    <n v="0"/>
    <n v="0"/>
    <n v="0"/>
    <n v="0"/>
    <n v="0"/>
    <n v="0"/>
    <n v="0"/>
  </r>
  <r>
    <s v="Titanium Dioxide Production"/>
    <x v="2"/>
    <x v="1"/>
    <n v="0"/>
    <n v="0"/>
    <n v="0"/>
    <n v="0"/>
    <n v="0"/>
    <n v="0"/>
    <n v="0"/>
    <n v="0"/>
    <n v="0"/>
    <n v="0"/>
    <n v="0"/>
    <n v="0"/>
    <n v="0"/>
    <n v="0"/>
    <n v="0"/>
    <n v="0"/>
    <n v="0"/>
    <n v="0"/>
    <n v="0"/>
    <n v="0"/>
    <n v="0"/>
    <n v="0"/>
    <n v="0"/>
    <n v="0"/>
    <n v="0"/>
    <n v="0"/>
    <n v="0"/>
    <n v="0"/>
    <n v="0"/>
    <n v="0"/>
    <n v="0"/>
    <n v="0"/>
    <n v="0"/>
    <n v="0"/>
    <n v="0"/>
    <n v="0"/>
    <n v="0"/>
    <n v="0"/>
    <n v="0"/>
    <n v="0"/>
    <n v="0"/>
    <n v="0"/>
    <n v="0"/>
    <n v="0"/>
    <n v="0"/>
  </r>
  <r>
    <s v="Zinc Production"/>
    <x v="2"/>
    <x v="1"/>
    <n v="0"/>
    <n v="0"/>
    <n v="0"/>
    <n v="0"/>
    <n v="0"/>
    <n v="0"/>
    <n v="0"/>
    <n v="0"/>
    <n v="0"/>
    <n v="0"/>
    <n v="0"/>
    <n v="0"/>
    <n v="0"/>
    <n v="0"/>
    <n v="0"/>
    <n v="0"/>
    <n v="0"/>
    <n v="0"/>
    <n v="0"/>
    <n v="0"/>
    <n v="0"/>
    <n v="0"/>
    <n v="0"/>
    <n v="0"/>
    <n v="0"/>
    <n v="0"/>
    <n v="0"/>
    <n v="0"/>
    <n v="0"/>
    <n v="0"/>
    <n v="0"/>
    <n v="0"/>
    <n v="0"/>
    <n v="0"/>
    <n v="0"/>
    <n v="0"/>
    <n v="0"/>
    <n v="0"/>
    <n v="0"/>
    <n v="0"/>
    <n v="0"/>
    <n v="0"/>
    <n v="0"/>
    <n v="0"/>
    <n v="0"/>
  </r>
  <r>
    <s v="Phosphoric Acid Production"/>
    <x v="1"/>
    <x v="1"/>
    <n v="0"/>
    <n v="0"/>
    <n v="0"/>
    <n v="0"/>
    <n v="0"/>
    <n v="0"/>
    <n v="0"/>
    <n v="0"/>
    <n v="0"/>
    <n v="0"/>
    <n v="0"/>
    <n v="0"/>
    <n v="0"/>
    <n v="0"/>
    <n v="0"/>
    <n v="0"/>
    <n v="0"/>
    <n v="0"/>
    <n v="0"/>
    <n v="0"/>
    <n v="0"/>
    <n v="0"/>
    <n v="0"/>
    <n v="0"/>
    <n v="0"/>
    <n v="0"/>
    <n v="0"/>
    <n v="0"/>
    <n v="0"/>
    <n v="0"/>
    <n v="0"/>
    <n v="0"/>
    <n v="0"/>
    <n v="0"/>
    <n v="0"/>
    <n v="0"/>
    <n v="0"/>
    <n v="0"/>
    <n v="0"/>
    <n v="0"/>
    <n v="0"/>
    <n v="0"/>
    <n v="0"/>
    <n v="0"/>
    <n v="0"/>
  </r>
  <r>
    <s v="Lead Production"/>
    <x v="2"/>
    <x v="1"/>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1"/>
    <n v="11"/>
    <n v="11"/>
    <n v="12"/>
    <n v="11"/>
    <n v="11"/>
    <n v="11"/>
    <n v="11"/>
    <n v="11"/>
    <n v="11"/>
    <n v="11"/>
    <n v="11"/>
    <n v="11"/>
    <n v="11"/>
    <n v="11"/>
    <n v="11"/>
    <n v="11"/>
    <n v="11"/>
    <n v="11"/>
    <n v="11"/>
    <n v="11"/>
    <n v="11"/>
    <n v="11"/>
    <n v="11"/>
    <n v="11"/>
    <n v="11"/>
    <n v="11"/>
    <n v="11"/>
    <n v="11"/>
    <n v="11"/>
    <n v="11"/>
    <n v="11"/>
    <n v="11"/>
    <n v="11"/>
    <n v="11"/>
    <n v="11"/>
    <n v="11"/>
    <n v="11"/>
    <n v="11"/>
    <n v="11"/>
    <n v="11"/>
    <n v="11"/>
    <n v="11"/>
    <n v="11"/>
    <n v="11"/>
    <n v="11"/>
  </r>
  <r>
    <s v="Wastewater Treatment (Industrial)"/>
    <x v="6"/>
    <x v="1"/>
    <n v="0"/>
    <n v="0"/>
    <n v="0"/>
    <n v="0"/>
    <n v="0"/>
    <n v="0"/>
    <n v="0"/>
    <n v="0"/>
    <n v="0"/>
    <n v="0"/>
    <n v="0"/>
    <n v="0"/>
    <n v="0"/>
    <n v="0"/>
    <n v="0"/>
    <n v="0"/>
    <n v="0"/>
    <n v="0"/>
    <n v="0"/>
    <n v="0"/>
    <n v="0"/>
    <n v="0"/>
    <n v="0"/>
    <n v="0"/>
    <n v="0"/>
    <n v="0"/>
    <n v="0"/>
    <n v="0"/>
    <n v="0"/>
    <n v="0"/>
    <n v="0"/>
    <n v="0"/>
    <n v="0"/>
    <n v="0"/>
    <n v="0"/>
    <n v="0"/>
    <n v="0"/>
    <n v="0"/>
    <n v="0"/>
    <n v="0"/>
    <n v="0"/>
    <n v="0"/>
    <n v="0"/>
    <n v="0"/>
    <n v="0"/>
  </r>
  <r>
    <s v="Composting"/>
    <x v="6"/>
    <x v="1"/>
    <n v="75"/>
    <n v="79"/>
    <n v="80"/>
    <n v="75"/>
    <n v="73"/>
    <n v="75"/>
    <n v="77"/>
    <n v="81"/>
    <n v="84"/>
    <n v="84"/>
    <n v="85"/>
    <n v="86"/>
    <n v="87"/>
    <n v="88"/>
    <n v="89"/>
    <n v="90"/>
    <n v="91"/>
    <n v="92"/>
    <n v="93"/>
    <n v="94"/>
    <n v="95"/>
    <n v="96"/>
    <n v="97"/>
    <n v="98"/>
    <n v="99"/>
    <n v="100"/>
    <n v="101"/>
    <n v="102"/>
    <n v="103"/>
    <n v="104"/>
    <n v="105"/>
    <n v="106"/>
    <n v="107"/>
    <n v="108"/>
    <n v="109"/>
    <n v="110"/>
    <n v="111"/>
    <n v="112"/>
    <n v="113"/>
    <n v="114"/>
    <n v="115"/>
    <n v="116"/>
    <n v="117"/>
    <n v="118"/>
    <n v="119"/>
  </r>
  <r>
    <s v="N₂O from Product Uses"/>
    <x v="2"/>
    <x v="1"/>
    <n v="0"/>
    <n v="0"/>
    <n v="0"/>
    <n v="0"/>
    <n v="0"/>
    <n v="0"/>
    <n v="0"/>
    <n v="0"/>
    <n v="0"/>
    <n v="0"/>
    <n v="0"/>
    <n v="0"/>
    <n v="0"/>
    <n v="0"/>
    <n v="0"/>
    <n v="0"/>
    <n v="0"/>
    <n v="0"/>
    <n v="0"/>
    <n v="0"/>
    <n v="0"/>
    <n v="0"/>
    <n v="0"/>
    <n v="0"/>
    <n v="0"/>
    <n v="0"/>
    <n v="0"/>
    <n v="0"/>
    <n v="0"/>
    <n v="0"/>
    <n v="0"/>
    <n v="0"/>
    <n v="0"/>
    <n v="0"/>
    <n v="0"/>
    <n v="0"/>
    <n v="0"/>
    <n v="0"/>
    <n v="0"/>
    <n v="0"/>
    <n v="0"/>
    <n v="0"/>
    <n v="0"/>
    <n v="0"/>
    <n v="0"/>
  </r>
  <r>
    <s v="Other Process Uses of Carbonates"/>
    <x v="3"/>
    <x v="1"/>
    <n v="0"/>
    <n v="0"/>
    <n v="0"/>
    <n v="0"/>
    <n v="0"/>
    <n v="0"/>
    <n v="0"/>
    <n v="0"/>
    <n v="0"/>
    <n v="0"/>
    <n v="0"/>
    <n v="0"/>
    <n v="0"/>
    <n v="0"/>
    <n v="0"/>
    <n v="0"/>
    <n v="0"/>
    <n v="0"/>
    <n v="0"/>
    <n v="0"/>
    <n v="0"/>
    <n v="0"/>
    <n v="0"/>
    <n v="0"/>
    <n v="0"/>
    <n v="0"/>
    <n v="0"/>
    <n v="0"/>
    <n v="0"/>
    <n v="0"/>
    <n v="0"/>
    <n v="0"/>
    <n v="0"/>
    <n v="0"/>
    <n v="0"/>
    <n v="0"/>
    <n v="0"/>
    <n v="0"/>
    <n v="0"/>
    <n v="0"/>
    <n v="0"/>
    <n v="0"/>
    <n v="0"/>
    <n v="0"/>
    <n v="0"/>
  </r>
  <r>
    <s v="Urea Fertilization"/>
    <x v="2"/>
    <x v="1"/>
    <n v="0"/>
    <n v="0"/>
    <n v="0"/>
    <n v="0"/>
    <n v="0"/>
    <n v="0"/>
    <n v="0"/>
    <n v="0"/>
    <n v="0"/>
    <n v="0"/>
    <n v="0"/>
    <n v="0"/>
    <n v="0"/>
    <n v="0"/>
    <n v="0"/>
    <n v="0"/>
    <n v="0"/>
    <n v="0"/>
    <n v="0"/>
    <n v="0"/>
    <n v="0"/>
    <n v="0"/>
    <n v="0"/>
    <n v="0"/>
    <n v="0"/>
    <n v="0"/>
    <n v="0"/>
    <n v="0"/>
    <n v="0"/>
    <n v="0"/>
    <n v="0"/>
    <n v="0"/>
    <n v="0"/>
    <n v="0"/>
    <n v="0"/>
    <n v="0"/>
    <n v="0"/>
    <n v="0"/>
    <n v="0"/>
    <n v="0"/>
    <n v="0"/>
    <n v="0"/>
    <n v="0"/>
    <n v="0"/>
    <n v="0"/>
  </r>
  <r>
    <s v="Incineration of Waste"/>
    <x v="7"/>
    <x v="1"/>
    <n v="0"/>
    <n v="0"/>
    <n v="0"/>
    <n v="0"/>
    <n v="0"/>
    <n v="0"/>
    <n v="0"/>
    <n v="0"/>
    <n v="0"/>
    <n v="0"/>
    <n v="0"/>
    <n v="0"/>
    <n v="0"/>
    <n v="0"/>
    <n v="0"/>
    <n v="0"/>
    <n v="0"/>
    <n v="0"/>
    <n v="0"/>
    <n v="0"/>
    <n v="0"/>
    <n v="0"/>
    <n v="0"/>
    <n v="0"/>
    <n v="0"/>
    <n v="0"/>
    <n v="0"/>
    <n v="0"/>
    <n v="0"/>
    <n v="0"/>
    <n v="0"/>
    <n v="0"/>
    <n v="0"/>
    <n v="0"/>
    <n v="0"/>
    <n v="0"/>
    <n v="0"/>
    <n v="0"/>
    <n v="0"/>
    <n v="0"/>
    <n v="0"/>
    <n v="0"/>
    <n v="0"/>
    <n v="0"/>
    <n v="0"/>
  </r>
  <r>
    <s v="Liming"/>
    <x v="2"/>
    <x v="1"/>
    <n v="0"/>
    <n v="0"/>
    <n v="0"/>
    <n v="0"/>
    <n v="0"/>
    <n v="0"/>
    <n v="0"/>
    <n v="0"/>
    <n v="0"/>
    <n v="0"/>
    <n v="0"/>
    <n v="0"/>
    <n v="0"/>
    <n v="0"/>
    <n v="0"/>
    <n v="0"/>
    <n v="0"/>
    <n v="0"/>
    <n v="0"/>
    <n v="0"/>
    <n v="0"/>
    <n v="0"/>
    <n v="0"/>
    <n v="0"/>
    <n v="0"/>
    <n v="0"/>
    <n v="0"/>
    <n v="0"/>
    <n v="0"/>
    <n v="0"/>
    <n v="0"/>
    <n v="0"/>
    <n v="0"/>
    <n v="0"/>
    <n v="0"/>
    <n v="0"/>
    <n v="0"/>
    <n v="0"/>
    <n v="0"/>
    <n v="0"/>
    <n v="0"/>
    <n v="0"/>
    <n v="0"/>
    <n v="0"/>
    <n v="0"/>
  </r>
  <r>
    <s v="Glass Production"/>
    <x v="2"/>
    <x v="1"/>
    <n v="0"/>
    <n v="0"/>
    <n v="0"/>
    <n v="0"/>
    <n v="0"/>
    <n v="0"/>
    <n v="0"/>
    <n v="0"/>
    <n v="0"/>
    <n v="0"/>
    <n v="0"/>
    <n v="0"/>
    <n v="0"/>
    <n v="0"/>
    <n v="0"/>
    <n v="0"/>
    <n v="0"/>
    <n v="0"/>
    <n v="0"/>
    <n v="0"/>
    <n v="0"/>
    <n v="0"/>
    <n v="0"/>
    <n v="0"/>
    <n v="0"/>
    <n v="0"/>
    <n v="0"/>
    <n v="0"/>
    <n v="0"/>
    <n v="0"/>
    <n v="0"/>
    <n v="0"/>
    <n v="0"/>
    <n v="0"/>
    <n v="0"/>
    <n v="0"/>
    <n v="0"/>
    <n v="0"/>
    <n v="0"/>
    <n v="0"/>
    <n v="0"/>
    <n v="0"/>
    <n v="0"/>
    <n v="0"/>
    <n v="0"/>
  </r>
  <r>
    <s v="Abandoned Underground Coal Mines"/>
    <x v="0"/>
    <x v="2"/>
    <n v="0"/>
    <n v="0"/>
    <n v="0"/>
    <n v="0"/>
    <n v="0"/>
    <n v="0"/>
    <n v="0"/>
    <n v="0"/>
    <n v="0"/>
    <n v="0"/>
    <n v="0"/>
    <n v="0"/>
    <n v="0"/>
    <n v="0"/>
    <n v="0"/>
    <n v="0"/>
    <n v="0"/>
    <n v="0"/>
    <n v="0"/>
    <n v="0"/>
    <n v="0"/>
    <n v="0"/>
    <n v="0"/>
    <n v="0"/>
    <n v="0"/>
    <n v="0"/>
    <n v="0"/>
    <n v="0"/>
    <n v="0"/>
    <n v="0"/>
    <n v="0"/>
    <n v="0"/>
    <n v="0"/>
    <n v="0"/>
    <n v="0"/>
    <n v="0"/>
    <n v="0"/>
    <n v="0"/>
    <n v="0"/>
    <n v="0"/>
    <n v="0"/>
    <n v="0"/>
    <n v="0"/>
    <n v="0"/>
    <n v="0"/>
  </r>
  <r>
    <s v="Nitric Acid Production"/>
    <x v="1"/>
    <x v="2"/>
    <n v="37"/>
    <n v="44"/>
    <n v="38"/>
    <n v="32"/>
    <n v="39"/>
    <n v="37"/>
    <n v="35"/>
    <n v="36"/>
    <n v="37"/>
    <n v="39"/>
    <n v="34"/>
    <n v="36.13913170048955"/>
    <n v="35.965806661718027"/>
    <n v="35.793312898288526"/>
    <n v="35.621646423363956"/>
    <n v="35.450803269228302"/>
    <n v="35.28077948719487"/>
    <n v="35.111571147515122"/>
    <n v="34.943174339287701"/>
    <n v="34.775585170368196"/>
    <n v="34.608799767279073"/>
    <n v="34.442814275120199"/>
    <n v="34.277624857479736"/>
    <n v="34.11322769634544"/>
    <n v="33.949618992016454"/>
    <n v="33.786794963015502"/>
    <n v="33.624751846001388"/>
    <n v="33.463485895682155"/>
    <n v="33.302993384728396"/>
    <n v="33.143270603687213"/>
    <n v="32.98431386089635"/>
    <n v="32.826119482399008"/>
    <n v="32.668683811858848"/>
    <n v="32.51200321047547"/>
    <n v="32.356074056900383"/>
    <n v="32.200892747153226"/>
    <n v="32.04645569453853"/>
    <n v="31.892759329562729"/>
    <n v="31.739800099851834"/>
    <n v="31.587574470069118"/>
    <n v="31.436078921833541"/>
    <n v="31.285309953638372"/>
    <n v="31.135264080770302"/>
    <n v="30.985937835228867"/>
    <n v="30.837327765646293"/>
  </r>
  <r>
    <s v="Silicon Carbide Production and Consumption"/>
    <x v="2"/>
    <x v="2"/>
    <n v="0"/>
    <n v="0"/>
    <n v="0"/>
    <n v="0"/>
    <n v="0"/>
    <n v="0"/>
    <n v="0"/>
    <n v="0"/>
    <n v="0"/>
    <n v="0"/>
    <n v="0"/>
    <n v="0"/>
    <n v="0"/>
    <n v="0"/>
    <n v="0"/>
    <n v="0"/>
    <n v="0"/>
    <n v="0"/>
    <n v="0"/>
    <n v="0"/>
    <n v="0"/>
    <n v="0"/>
    <n v="0"/>
    <n v="0"/>
    <n v="0"/>
    <n v="0"/>
    <n v="0"/>
    <n v="0"/>
    <n v="0"/>
    <n v="0"/>
    <n v="0"/>
    <n v="0"/>
    <n v="0"/>
    <n v="0"/>
    <n v="0"/>
    <n v="0"/>
    <n v="0"/>
    <n v="0"/>
    <n v="0"/>
    <n v="0"/>
    <n v="0"/>
    <n v="0"/>
    <n v="0"/>
    <n v="0"/>
    <n v="0"/>
  </r>
  <r>
    <s v="Ferroalloy Production"/>
    <x v="2"/>
    <x v="2"/>
    <n v="0"/>
    <n v="0"/>
    <n v="0"/>
    <n v="0"/>
    <n v="0"/>
    <n v="0"/>
    <n v="0"/>
    <n v="0"/>
    <n v="0"/>
    <n v="0"/>
    <n v="0"/>
    <n v="0"/>
    <n v="0"/>
    <n v="0"/>
    <n v="0"/>
    <n v="0"/>
    <n v="0"/>
    <n v="0"/>
    <n v="0"/>
    <n v="0"/>
    <n v="0"/>
    <n v="0"/>
    <n v="0"/>
    <n v="0"/>
    <n v="0"/>
    <n v="0"/>
    <n v="0"/>
    <n v="0"/>
    <n v="0"/>
    <n v="0"/>
    <n v="0"/>
    <n v="0"/>
    <n v="0"/>
    <n v="0"/>
    <n v="0"/>
    <n v="0"/>
    <n v="0"/>
    <n v="0"/>
    <n v="0"/>
    <n v="0"/>
    <n v="0"/>
    <n v="0"/>
    <n v="0"/>
    <n v="0"/>
    <n v="0"/>
  </r>
  <r>
    <s v="Lime Production"/>
    <x v="3"/>
    <x v="2"/>
    <n v="0"/>
    <n v="0"/>
    <n v="0"/>
    <n v="0"/>
    <n v="0"/>
    <n v="0"/>
    <n v="0"/>
    <n v="0"/>
    <n v="0"/>
    <n v="0"/>
    <n v="0"/>
    <n v="0"/>
    <n v="0"/>
    <n v="0"/>
    <n v="0"/>
    <n v="0"/>
    <n v="0"/>
    <n v="0"/>
    <n v="0"/>
    <n v="0"/>
    <n v="0"/>
    <n v="0"/>
    <n v="0"/>
    <n v="0"/>
    <n v="0"/>
    <n v="0"/>
    <n v="0"/>
    <n v="0"/>
    <n v="0"/>
    <n v="0"/>
    <n v="0"/>
    <n v="0"/>
    <n v="0"/>
    <n v="0"/>
    <n v="0"/>
    <n v="0"/>
    <n v="0"/>
    <n v="0"/>
    <n v="0"/>
    <n v="0"/>
    <n v="0"/>
    <n v="0"/>
    <n v="0"/>
    <n v="0"/>
    <n v="0"/>
  </r>
  <r>
    <s v="Limestone and Dolomite Use"/>
    <x v="3"/>
    <x v="2"/>
    <n v="0"/>
    <n v="0"/>
    <n v="0"/>
    <n v="0"/>
    <n v="0"/>
    <n v="0"/>
    <n v="0"/>
    <n v="0"/>
    <n v="0"/>
    <n v="0"/>
    <n v="0"/>
    <n v="0"/>
    <n v="0"/>
    <n v="0"/>
    <n v="0"/>
    <n v="0"/>
    <n v="0"/>
    <n v="0"/>
    <n v="0"/>
    <n v="0"/>
    <n v="0"/>
    <n v="0"/>
    <n v="0"/>
    <n v="0"/>
    <n v="0"/>
    <n v="0"/>
    <n v="0"/>
    <n v="0"/>
    <n v="0"/>
    <n v="0"/>
    <n v="0"/>
    <n v="0"/>
    <n v="0"/>
    <n v="0"/>
    <n v="0"/>
    <n v="0"/>
    <n v="0"/>
    <n v="0"/>
    <n v="0"/>
    <n v="0"/>
    <n v="0"/>
    <n v="0"/>
    <n v="0"/>
    <n v="0"/>
    <n v="0"/>
  </r>
  <r>
    <s v="Ammonia Production"/>
    <x v="1"/>
    <x v="2"/>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2"/>
    <n v="0"/>
    <n v="0"/>
    <n v="0"/>
    <n v="0"/>
    <n v="0"/>
    <n v="0"/>
    <n v="0"/>
    <n v="0"/>
    <n v="0"/>
    <n v="0"/>
    <n v="0"/>
    <n v="0"/>
    <n v="0"/>
    <n v="0"/>
    <n v="0"/>
    <n v="0"/>
    <n v="0"/>
    <n v="0"/>
    <n v="0"/>
    <n v="0"/>
    <n v="0"/>
    <n v="0"/>
    <n v="0"/>
    <n v="0"/>
    <n v="0"/>
    <n v="0"/>
    <n v="0"/>
    <n v="0"/>
    <n v="0"/>
    <n v="0"/>
    <n v="0"/>
    <n v="0"/>
    <n v="0"/>
    <n v="0"/>
    <n v="0"/>
    <n v="0"/>
    <n v="0"/>
    <n v="0"/>
    <n v="0"/>
    <n v="0"/>
    <n v="0"/>
    <n v="0"/>
    <n v="0"/>
    <n v="0"/>
    <n v="0"/>
  </r>
  <r>
    <s v="Soda Ash Production and Consumption"/>
    <x v="1"/>
    <x v="2"/>
    <n v="0"/>
    <n v="0"/>
    <n v="0"/>
    <n v="0"/>
    <n v="0"/>
    <n v="0"/>
    <n v="0"/>
    <n v="0"/>
    <n v="0"/>
    <n v="0"/>
    <n v="0"/>
    <n v="0"/>
    <n v="0"/>
    <n v="0"/>
    <n v="0"/>
    <n v="0"/>
    <n v="0"/>
    <n v="0"/>
    <n v="0"/>
    <n v="0"/>
    <n v="0"/>
    <n v="0"/>
    <n v="0"/>
    <n v="0"/>
    <n v="0"/>
    <n v="0"/>
    <n v="0"/>
    <n v="0"/>
    <n v="0"/>
    <n v="0"/>
    <n v="0"/>
    <n v="0"/>
    <n v="0"/>
    <n v="0"/>
    <n v="0"/>
    <n v="0"/>
    <n v="0"/>
    <n v="0"/>
    <n v="0"/>
    <n v="0"/>
    <n v="0"/>
    <n v="0"/>
    <n v="0"/>
    <n v="0"/>
    <n v="0"/>
  </r>
  <r>
    <s v="Petrochemical Production"/>
    <x v="4"/>
    <x v="2"/>
    <n v="0"/>
    <n v="0"/>
    <n v="0"/>
    <n v="0"/>
    <n v="0"/>
    <n v="0"/>
    <n v="0"/>
    <n v="0"/>
    <n v="0"/>
    <n v="0"/>
    <n v="0"/>
    <n v="0"/>
    <n v="0"/>
    <n v="0"/>
    <n v="0"/>
    <n v="0"/>
    <n v="0"/>
    <n v="0"/>
    <n v="0"/>
    <n v="0"/>
    <n v="0"/>
    <n v="0"/>
    <n v="0"/>
    <n v="0"/>
    <n v="0"/>
    <n v="0"/>
    <n v="0"/>
    <n v="0"/>
    <n v="0"/>
    <n v="0"/>
    <n v="0"/>
    <n v="0"/>
    <n v="0"/>
    <n v="0"/>
    <n v="0"/>
    <n v="0"/>
    <n v="0"/>
    <n v="0"/>
    <n v="0"/>
    <n v="0"/>
    <n v="0"/>
    <n v="0"/>
    <n v="0"/>
    <n v="0"/>
    <n v="0"/>
  </r>
  <r>
    <s v="Carbon Dioxide Consumption"/>
    <x v="2"/>
    <x v="2"/>
    <n v="0"/>
    <n v="0"/>
    <n v="0"/>
    <n v="0"/>
    <n v="0"/>
    <n v="0"/>
    <n v="0"/>
    <n v="0"/>
    <n v="0"/>
    <n v="0"/>
    <n v="0"/>
    <n v="0"/>
    <n v="0"/>
    <n v="0"/>
    <n v="0"/>
    <n v="0"/>
    <n v="0"/>
    <n v="0"/>
    <n v="0"/>
    <n v="0"/>
    <n v="0"/>
    <n v="0"/>
    <n v="0"/>
    <n v="0"/>
    <n v="0"/>
    <n v="0"/>
    <n v="0"/>
    <n v="0"/>
    <n v="0"/>
    <n v="0"/>
    <n v="0"/>
    <n v="0"/>
    <n v="0"/>
    <n v="0"/>
    <n v="0"/>
    <n v="0"/>
    <n v="0"/>
    <n v="0"/>
    <n v="0"/>
    <n v="0"/>
    <n v="0"/>
    <n v="0"/>
    <n v="0"/>
    <n v="0"/>
    <n v="0"/>
  </r>
  <r>
    <s v="Titanium Dioxide Production"/>
    <x v="2"/>
    <x v="2"/>
    <n v="0"/>
    <n v="0"/>
    <n v="0"/>
    <n v="0"/>
    <n v="0"/>
    <n v="0"/>
    <n v="0"/>
    <n v="0"/>
    <n v="0"/>
    <n v="0"/>
    <n v="0"/>
    <n v="0"/>
    <n v="0"/>
    <n v="0"/>
    <n v="0"/>
    <n v="0"/>
    <n v="0"/>
    <n v="0"/>
    <n v="0"/>
    <n v="0"/>
    <n v="0"/>
    <n v="0"/>
    <n v="0"/>
    <n v="0"/>
    <n v="0"/>
    <n v="0"/>
    <n v="0"/>
    <n v="0"/>
    <n v="0"/>
    <n v="0"/>
    <n v="0"/>
    <n v="0"/>
    <n v="0"/>
    <n v="0"/>
    <n v="0"/>
    <n v="0"/>
    <n v="0"/>
    <n v="0"/>
    <n v="0"/>
    <n v="0"/>
    <n v="0"/>
    <n v="0"/>
    <n v="0"/>
    <n v="0"/>
    <n v="0"/>
  </r>
  <r>
    <s v="Zinc Production"/>
    <x v="2"/>
    <x v="2"/>
    <n v="0"/>
    <n v="0"/>
    <n v="0"/>
    <n v="0"/>
    <n v="0"/>
    <n v="0"/>
    <n v="0"/>
    <n v="0"/>
    <n v="0"/>
    <n v="0"/>
    <n v="0"/>
    <n v="0"/>
    <n v="0"/>
    <n v="0"/>
    <n v="0"/>
    <n v="0"/>
    <n v="0"/>
    <n v="0"/>
    <n v="0"/>
    <n v="0"/>
    <n v="0"/>
    <n v="0"/>
    <n v="0"/>
    <n v="0"/>
    <n v="0"/>
    <n v="0"/>
    <n v="0"/>
    <n v="0"/>
    <n v="0"/>
    <n v="0"/>
    <n v="0"/>
    <n v="0"/>
    <n v="0"/>
    <n v="0"/>
    <n v="0"/>
    <n v="0"/>
    <n v="0"/>
    <n v="0"/>
    <n v="0"/>
    <n v="0"/>
    <n v="0"/>
    <n v="0"/>
    <n v="0"/>
    <n v="0"/>
    <n v="0"/>
  </r>
  <r>
    <s v="Phosphoric Acid Production"/>
    <x v="1"/>
    <x v="2"/>
    <n v="0"/>
    <n v="0"/>
    <n v="0"/>
    <n v="0"/>
    <n v="0"/>
    <n v="0"/>
    <n v="0"/>
    <n v="0"/>
    <n v="0"/>
    <n v="0"/>
    <n v="0"/>
    <n v="0"/>
    <n v="0"/>
    <n v="0"/>
    <n v="0"/>
    <n v="0"/>
    <n v="0"/>
    <n v="0"/>
    <n v="0"/>
    <n v="0"/>
    <n v="0"/>
    <n v="0"/>
    <n v="0"/>
    <n v="0"/>
    <n v="0"/>
    <n v="0"/>
    <n v="0"/>
    <n v="0"/>
    <n v="0"/>
    <n v="0"/>
    <n v="0"/>
    <n v="0"/>
    <n v="0"/>
    <n v="0"/>
    <n v="0"/>
    <n v="0"/>
    <n v="0"/>
    <n v="0"/>
    <n v="0"/>
    <n v="0"/>
    <n v="0"/>
    <n v="0"/>
    <n v="0"/>
    <n v="0"/>
    <n v="0"/>
  </r>
  <r>
    <s v="Lead Production"/>
    <x v="2"/>
    <x v="2"/>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2"/>
    <n v="0"/>
    <n v="0"/>
    <n v="0"/>
    <n v="0"/>
    <n v="0"/>
    <n v="0"/>
    <n v="0"/>
    <n v="0"/>
    <n v="0"/>
    <n v="0"/>
    <n v="0"/>
    <n v="0"/>
    <n v="0"/>
    <n v="0"/>
    <n v="0"/>
    <n v="0"/>
    <n v="0"/>
    <n v="0"/>
    <n v="0"/>
    <n v="0"/>
    <n v="0"/>
    <n v="0"/>
    <n v="0"/>
    <n v="0"/>
    <n v="0"/>
    <n v="0"/>
    <n v="0"/>
    <n v="0"/>
    <n v="0"/>
    <n v="0"/>
    <n v="0"/>
    <n v="0"/>
    <n v="0"/>
    <n v="0"/>
    <n v="0"/>
    <n v="0"/>
    <n v="0"/>
    <n v="0"/>
    <n v="0"/>
    <n v="0"/>
    <n v="0"/>
    <n v="0"/>
    <n v="0"/>
    <n v="0"/>
    <n v="0"/>
  </r>
  <r>
    <s v="Wastewater Treatment (Industrial)"/>
    <x v="6"/>
    <x v="2"/>
    <n v="0"/>
    <n v="0"/>
    <n v="0"/>
    <n v="0"/>
    <n v="0"/>
    <n v="0"/>
    <n v="0"/>
    <n v="0"/>
    <n v="0"/>
    <n v="0"/>
    <n v="0"/>
    <n v="0"/>
    <n v="0"/>
    <n v="0"/>
    <n v="0"/>
    <n v="0"/>
    <n v="0"/>
    <n v="0"/>
    <n v="0"/>
    <n v="0"/>
    <n v="0"/>
    <n v="0"/>
    <n v="0"/>
    <n v="0"/>
    <n v="0"/>
    <n v="0"/>
    <n v="0"/>
    <n v="0"/>
    <n v="0"/>
    <n v="0"/>
    <n v="0"/>
    <n v="0"/>
    <n v="0"/>
    <n v="0"/>
    <n v="0"/>
    <n v="0"/>
    <n v="0"/>
    <n v="0"/>
    <n v="0"/>
    <n v="0"/>
    <n v="0"/>
    <n v="0"/>
    <n v="0"/>
    <n v="0"/>
    <n v="0"/>
  </r>
  <r>
    <s v="Adipic Acid Production"/>
    <x v="1"/>
    <x v="2"/>
    <n v="29"/>
    <n v="34"/>
    <n v="8"/>
    <n v="9"/>
    <n v="14"/>
    <n v="34"/>
    <n v="19"/>
    <n v="13"/>
    <n v="18"/>
    <n v="14"/>
    <n v="23"/>
    <n v="13.773896690484227"/>
    <n v="13.326406056864057"/>
    <n v="12.893453637931978"/>
    <n v="12.474567111653874"/>
    <n v="12.069289500940574"/>
    <n v="11.677178675116506"/>
    <n v="11.297806867584814"/>
    <n v="10.930760209162688"/>
    <n v="10.575638276577877"/>
    <n v="10.232053655633752"/>
    <n v="9.8996315185664425"/>
    <n v="9.5780092151328819"/>
    <n v="9.2668358769837234"/>
    <n v="8.9657720348895378"/>
    <n v="8.6744892484026543"/>
    <n v="8.3926697475506717"/>
    <n v="8.120006086170747"/>
    <n v="7.856200806506461"/>
    <n v="7.6009661147013743"/>
    <n v="7.3540235668352354"/>
    <n v="7.1151037651603595"/>
    <n v="6.8839460642067527"/>
    <n v="6.6602982864354034"/>
    <n v="6.4439164471295118"/>
    <n v="6.234564488223536"/>
    <n v="6.0320140207796813"/>
    <n v="5.8360440758308965"/>
    <n v="5.6464408633185661"/>
    <n v="5.462997538861889"/>
    <n v="5.2855139781045599"/>
    <n v="5.1137965583925116"/>
    <n v="4.9476579475446014"/>
    <n v="4.7869168994857629"/>
    <n v="4.6313980565197168"/>
  </r>
  <r>
    <s v="Composting"/>
    <x v="6"/>
    <x v="2"/>
    <n v="6"/>
    <n v="6"/>
    <n v="6"/>
    <n v="6"/>
    <n v="5"/>
    <n v="6"/>
    <n v="6"/>
    <n v="6"/>
    <n v="6"/>
    <n v="6"/>
    <n v="6"/>
    <n v="6"/>
    <n v="6"/>
    <n v="6"/>
    <n v="6"/>
    <n v="6"/>
    <n v="6"/>
    <n v="6"/>
    <n v="6"/>
    <n v="6"/>
    <n v="6"/>
    <n v="6"/>
    <n v="6"/>
    <n v="6"/>
    <n v="6"/>
    <n v="6"/>
    <n v="6"/>
    <n v="6"/>
    <n v="6"/>
    <n v="6"/>
    <n v="6"/>
    <n v="6"/>
    <n v="6"/>
    <n v="6"/>
    <n v="6"/>
    <n v="6"/>
    <n v="6"/>
    <n v="6"/>
    <n v="6"/>
    <n v="6"/>
    <n v="6"/>
    <n v="6"/>
    <n v="6"/>
    <n v="6"/>
    <n v="6"/>
  </r>
  <r>
    <s v="N₂O from Product Uses"/>
    <x v="2"/>
    <x v="2"/>
    <n v="14"/>
    <n v="14"/>
    <n v="14"/>
    <n v="14"/>
    <n v="14"/>
    <n v="14"/>
    <n v="14"/>
    <n v="14"/>
    <n v="14"/>
    <n v="14"/>
    <n v="14"/>
    <n v="14"/>
    <n v="14"/>
    <n v="14"/>
    <n v="14"/>
    <n v="14"/>
    <n v="14"/>
    <n v="14"/>
    <n v="14"/>
    <n v="14"/>
    <n v="14"/>
    <n v="14"/>
    <n v="14"/>
    <n v="14"/>
    <n v="14"/>
    <n v="14"/>
    <n v="14"/>
    <n v="14"/>
    <n v="14"/>
    <n v="14"/>
    <n v="14"/>
    <n v="14"/>
    <n v="14"/>
    <n v="14"/>
    <n v="14"/>
    <n v="14"/>
    <n v="14"/>
    <n v="14"/>
    <n v="14"/>
    <n v="14"/>
    <n v="14"/>
    <n v="14"/>
    <n v="14"/>
    <n v="14"/>
    <n v="14"/>
  </r>
  <r>
    <s v="Other Process Uses of Carbonates"/>
    <x v="3"/>
    <x v="2"/>
    <n v="0"/>
    <n v="0"/>
    <n v="0"/>
    <n v="0"/>
    <n v="0"/>
    <n v="0"/>
    <n v="0"/>
    <n v="0"/>
    <n v="0"/>
    <n v="0"/>
    <n v="0"/>
    <n v="0"/>
    <n v="0"/>
    <n v="0"/>
    <n v="0"/>
    <n v="0"/>
    <n v="0"/>
    <n v="0"/>
    <n v="0"/>
    <n v="0"/>
    <n v="0"/>
    <n v="0"/>
    <n v="0"/>
    <n v="0"/>
    <n v="0"/>
    <n v="0"/>
    <n v="0"/>
    <n v="0"/>
    <n v="0"/>
    <n v="0"/>
    <n v="0"/>
    <n v="0"/>
    <n v="0"/>
    <n v="0"/>
    <n v="0"/>
    <n v="0"/>
    <n v="0"/>
    <n v="0"/>
    <n v="0"/>
    <n v="0"/>
    <n v="0"/>
    <n v="0"/>
    <n v="0"/>
    <n v="0"/>
    <n v="0"/>
  </r>
  <r>
    <s v="Urea Fertilization"/>
    <x v="2"/>
    <x v="2"/>
    <n v="0"/>
    <n v="0"/>
    <n v="0"/>
    <n v="0"/>
    <n v="0"/>
    <n v="0"/>
    <n v="0"/>
    <n v="0"/>
    <n v="0"/>
    <n v="0"/>
    <n v="0"/>
    <n v="0"/>
    <n v="0"/>
    <n v="0"/>
    <n v="0"/>
    <n v="0"/>
    <n v="0"/>
    <n v="0"/>
    <n v="0"/>
    <n v="0"/>
    <n v="0"/>
    <n v="0"/>
    <n v="0"/>
    <n v="0"/>
    <n v="0"/>
    <n v="0"/>
    <n v="0"/>
    <n v="0"/>
    <n v="0"/>
    <n v="0"/>
    <n v="0"/>
    <n v="0"/>
    <n v="0"/>
    <n v="0"/>
    <n v="0"/>
    <n v="0"/>
    <n v="0"/>
    <n v="0"/>
    <n v="0"/>
    <n v="0"/>
    <n v="0"/>
    <n v="0"/>
    <n v="0"/>
    <n v="0"/>
    <n v="0"/>
  </r>
  <r>
    <s v="Incineration of Waste"/>
    <x v="7"/>
    <x v="2"/>
    <n v="1"/>
    <n v="1"/>
    <n v="1"/>
    <n v="1"/>
    <n v="1"/>
    <n v="1"/>
    <n v="1"/>
    <n v="1"/>
    <n v="1"/>
    <n v="1"/>
    <n v="1"/>
    <n v="1"/>
    <n v="1"/>
    <n v="1"/>
    <n v="1"/>
    <n v="1"/>
    <n v="1"/>
    <n v="1"/>
    <n v="1"/>
    <n v="1"/>
    <n v="1"/>
    <n v="1"/>
    <n v="1"/>
    <n v="1"/>
    <n v="1"/>
    <n v="1"/>
    <n v="1"/>
    <n v="1"/>
    <n v="1"/>
    <n v="1"/>
    <n v="1"/>
    <n v="1"/>
    <n v="1"/>
    <n v="1"/>
    <n v="1"/>
    <n v="1"/>
    <n v="1"/>
    <n v="1"/>
    <n v="1"/>
    <n v="1"/>
    <n v="1"/>
    <n v="1"/>
    <n v="1"/>
    <n v="1"/>
    <n v="1"/>
  </r>
  <r>
    <s v="Liming"/>
    <x v="2"/>
    <x v="2"/>
    <n v="0"/>
    <n v="0"/>
    <n v="0"/>
    <n v="0"/>
    <n v="0"/>
    <n v="0"/>
    <n v="0"/>
    <n v="0"/>
    <n v="0"/>
    <n v="0"/>
    <n v="0"/>
    <n v="0"/>
    <n v="0"/>
    <n v="0"/>
    <n v="0"/>
    <n v="0"/>
    <n v="0"/>
    <n v="0"/>
    <n v="0"/>
    <n v="0"/>
    <n v="0"/>
    <n v="0"/>
    <n v="0"/>
    <n v="0"/>
    <n v="0"/>
    <n v="0"/>
    <n v="0"/>
    <n v="0"/>
    <n v="0"/>
    <n v="0"/>
    <n v="0"/>
    <n v="0"/>
    <n v="0"/>
    <n v="0"/>
    <n v="0"/>
    <n v="0"/>
    <n v="0"/>
    <n v="0"/>
    <n v="0"/>
    <n v="0"/>
    <n v="0"/>
    <n v="0"/>
    <n v="0"/>
    <n v="0"/>
    <n v="0"/>
  </r>
  <r>
    <s v="Glass Production"/>
    <x v="2"/>
    <x v="2"/>
    <n v="0"/>
    <n v="0"/>
    <n v="0"/>
    <n v="0"/>
    <n v="0"/>
    <n v="0"/>
    <n v="0"/>
    <n v="0"/>
    <n v="0"/>
    <n v="0"/>
    <n v="0"/>
    <n v="0"/>
    <n v="0"/>
    <n v="0"/>
    <n v="0"/>
    <n v="0"/>
    <n v="0"/>
    <n v="0"/>
    <n v="0"/>
    <n v="0"/>
    <n v="0"/>
    <n v="0"/>
    <n v="0"/>
    <n v="0"/>
    <n v="0"/>
    <n v="0"/>
    <n v="0"/>
    <n v="0"/>
    <n v="0"/>
    <n v="0"/>
    <n v="0"/>
    <n v="0"/>
    <n v="0"/>
    <n v="0"/>
    <n v="0"/>
    <n v="0"/>
    <n v="0"/>
    <n v="0"/>
    <n v="0"/>
    <n v="0"/>
    <n v="0"/>
    <n v="0"/>
    <n v="0"/>
    <n v="0"/>
    <n v="0"/>
  </r>
  <r>
    <s v="Abandoned Underground Coal Mines"/>
    <x v="0"/>
    <x v="3"/>
    <n v="0"/>
    <n v="0"/>
    <n v="0"/>
    <n v="0"/>
    <n v="0"/>
    <n v="0"/>
    <n v="0"/>
    <n v="0"/>
    <n v="0"/>
    <n v="0"/>
    <n v="0"/>
    <n v="0"/>
    <n v="0"/>
    <n v="0"/>
    <n v="0"/>
    <n v="0"/>
    <n v="0"/>
    <n v="0"/>
    <n v="0"/>
    <n v="0"/>
    <n v="0"/>
    <n v="0"/>
    <n v="0"/>
    <n v="0"/>
    <n v="0"/>
    <n v="0"/>
    <n v="0"/>
    <n v="0"/>
    <n v="0"/>
    <n v="0"/>
    <n v="0"/>
    <n v="0"/>
    <n v="0"/>
    <n v="0"/>
    <n v="0"/>
    <n v="0"/>
    <n v="0"/>
    <n v="0"/>
    <n v="0"/>
    <n v="0"/>
    <n v="0"/>
    <n v="0"/>
    <n v="0"/>
    <n v="0"/>
    <n v="0"/>
  </r>
  <r>
    <s v="Nitric Acid Production"/>
    <x v="1"/>
    <x v="3"/>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3"/>
    <n v="0"/>
    <n v="0"/>
    <n v="0"/>
    <n v="0"/>
    <n v="0"/>
    <n v="0"/>
    <n v="0"/>
    <n v="0"/>
    <n v="0"/>
    <n v="0"/>
    <n v="0"/>
    <n v="0"/>
    <n v="0"/>
    <n v="0"/>
    <n v="0"/>
    <n v="0"/>
    <n v="0"/>
    <n v="0"/>
    <n v="0"/>
    <n v="0"/>
    <n v="0"/>
    <n v="0"/>
    <n v="0"/>
    <n v="0"/>
    <n v="0"/>
    <n v="0"/>
    <n v="0"/>
    <n v="0"/>
    <n v="0"/>
    <n v="0"/>
    <n v="0"/>
    <n v="0"/>
    <n v="0"/>
    <n v="0"/>
    <n v="0"/>
    <n v="0"/>
    <n v="0"/>
    <n v="0"/>
    <n v="0"/>
    <n v="0"/>
    <n v="0"/>
    <n v="0"/>
    <n v="0"/>
    <n v="0"/>
    <n v="0"/>
  </r>
  <r>
    <s v="Ferroalloy Production"/>
    <x v="2"/>
    <x v="3"/>
    <n v="0"/>
    <n v="0"/>
    <n v="0"/>
    <n v="0"/>
    <n v="0"/>
    <n v="0"/>
    <n v="0"/>
    <n v="0"/>
    <n v="0"/>
    <n v="0"/>
    <n v="0"/>
    <n v="0"/>
    <n v="0"/>
    <n v="0"/>
    <n v="0"/>
    <n v="0"/>
    <n v="0"/>
    <n v="0"/>
    <n v="0"/>
    <n v="0"/>
    <n v="0"/>
    <n v="0"/>
    <n v="0"/>
    <n v="0"/>
    <n v="0"/>
    <n v="0"/>
    <n v="0"/>
    <n v="0"/>
    <n v="0"/>
    <n v="0"/>
    <n v="0"/>
    <n v="0"/>
    <n v="0"/>
    <n v="0"/>
    <n v="0"/>
    <n v="0"/>
    <n v="0"/>
    <n v="0"/>
    <n v="0"/>
    <n v="0"/>
    <n v="0"/>
    <n v="0"/>
    <n v="0"/>
    <n v="0"/>
    <n v="0"/>
  </r>
  <r>
    <s v="Lime Production"/>
    <x v="3"/>
    <x v="3"/>
    <n v="0"/>
    <n v="0"/>
    <n v="0"/>
    <n v="0"/>
    <n v="0"/>
    <n v="0"/>
    <n v="0"/>
    <n v="0"/>
    <n v="0"/>
    <n v="0"/>
    <n v="0"/>
    <n v="0"/>
    <n v="0"/>
    <n v="0"/>
    <n v="0"/>
    <n v="0"/>
    <n v="0"/>
    <n v="0"/>
    <n v="0"/>
    <n v="0"/>
    <n v="0"/>
    <n v="0"/>
    <n v="0"/>
    <n v="0"/>
    <n v="0"/>
    <n v="0"/>
    <n v="0"/>
    <n v="0"/>
    <n v="0"/>
    <n v="0"/>
    <n v="0"/>
    <n v="0"/>
    <n v="0"/>
    <n v="0"/>
    <n v="0"/>
    <n v="0"/>
    <n v="0"/>
    <n v="0"/>
    <n v="0"/>
    <n v="0"/>
    <n v="0"/>
    <n v="0"/>
    <n v="0"/>
    <n v="0"/>
    <n v="0"/>
  </r>
  <r>
    <s v="Limestone and Dolomite Use"/>
    <x v="3"/>
    <x v="3"/>
    <n v="0"/>
    <n v="0"/>
    <n v="0"/>
    <n v="0"/>
    <n v="0"/>
    <n v="0"/>
    <n v="0"/>
    <n v="0"/>
    <n v="0"/>
    <n v="0"/>
    <n v="0"/>
    <n v="0"/>
    <n v="0"/>
    <n v="0"/>
    <n v="0"/>
    <n v="0"/>
    <n v="0"/>
    <n v="0"/>
    <n v="0"/>
    <n v="0"/>
    <n v="0"/>
    <n v="0"/>
    <n v="0"/>
    <n v="0"/>
    <n v="0"/>
    <n v="0"/>
    <n v="0"/>
    <n v="0"/>
    <n v="0"/>
    <n v="0"/>
    <n v="0"/>
    <n v="0"/>
    <n v="0"/>
    <n v="0"/>
    <n v="0"/>
    <n v="0"/>
    <n v="0"/>
    <n v="0"/>
    <n v="0"/>
    <n v="0"/>
    <n v="0"/>
    <n v="0"/>
    <n v="0"/>
    <n v="0"/>
    <n v="0"/>
  </r>
  <r>
    <s v="Ammonia Production"/>
    <x v="1"/>
    <x v="3"/>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3"/>
    <n v="0"/>
    <n v="0"/>
    <n v="0"/>
    <n v="0"/>
    <n v="0"/>
    <n v="0"/>
    <n v="0"/>
    <n v="0"/>
    <n v="0"/>
    <n v="0"/>
    <n v="0"/>
    <n v="0"/>
    <n v="0"/>
    <n v="0"/>
    <n v="0"/>
    <n v="0"/>
    <n v="0"/>
    <n v="0"/>
    <n v="0"/>
    <n v="0"/>
    <n v="0"/>
    <n v="0"/>
    <n v="0"/>
    <n v="0"/>
    <n v="0"/>
    <n v="0"/>
    <n v="0"/>
    <n v="0"/>
    <n v="0"/>
    <n v="0"/>
    <n v="0"/>
    <n v="0"/>
    <n v="0"/>
    <n v="0"/>
    <n v="0"/>
    <n v="0"/>
    <n v="0"/>
    <n v="0"/>
    <n v="0"/>
    <n v="0"/>
    <n v="0"/>
    <n v="0"/>
    <n v="0"/>
    <n v="0"/>
    <n v="0"/>
  </r>
  <r>
    <s v="Soda Ash Production and Consumption"/>
    <x v="1"/>
    <x v="3"/>
    <n v="0"/>
    <n v="0"/>
    <n v="0"/>
    <n v="0"/>
    <n v="0"/>
    <n v="0"/>
    <n v="0"/>
    <n v="0"/>
    <n v="0"/>
    <n v="0"/>
    <n v="0"/>
    <n v="0"/>
    <n v="0"/>
    <n v="0"/>
    <n v="0"/>
    <n v="0"/>
    <n v="0"/>
    <n v="0"/>
    <n v="0"/>
    <n v="0"/>
    <n v="0"/>
    <n v="0"/>
    <n v="0"/>
    <n v="0"/>
    <n v="0"/>
    <n v="0"/>
    <n v="0"/>
    <n v="0"/>
    <n v="0"/>
    <n v="0"/>
    <n v="0"/>
    <n v="0"/>
    <n v="0"/>
    <n v="0"/>
    <n v="0"/>
    <n v="0"/>
    <n v="0"/>
    <n v="0"/>
    <n v="0"/>
    <n v="0"/>
    <n v="0"/>
    <n v="0"/>
    <n v="0"/>
    <n v="0"/>
    <n v="0"/>
  </r>
  <r>
    <s v="Petrochemical Production"/>
    <x v="4"/>
    <x v="3"/>
    <n v="0"/>
    <n v="0"/>
    <n v="0"/>
    <n v="0"/>
    <n v="0"/>
    <n v="0"/>
    <n v="0"/>
    <n v="0"/>
    <n v="0"/>
    <n v="0"/>
    <n v="0"/>
    <n v="0"/>
    <n v="0"/>
    <n v="0"/>
    <n v="0"/>
    <n v="0"/>
    <n v="0"/>
    <n v="0"/>
    <n v="0"/>
    <n v="0"/>
    <n v="0"/>
    <n v="0"/>
    <n v="0"/>
    <n v="0"/>
    <n v="0"/>
    <n v="0"/>
    <n v="0"/>
    <n v="0"/>
    <n v="0"/>
    <n v="0"/>
    <n v="0"/>
    <n v="0"/>
    <n v="0"/>
    <n v="0"/>
    <n v="0"/>
    <n v="0"/>
    <n v="0"/>
    <n v="0"/>
    <n v="0"/>
    <n v="0"/>
    <n v="0"/>
    <n v="0"/>
    <n v="0"/>
    <n v="0"/>
    <n v="0"/>
  </r>
  <r>
    <s v="Carbon Dioxide Consumption"/>
    <x v="2"/>
    <x v="3"/>
    <n v="0"/>
    <n v="0"/>
    <n v="0"/>
    <n v="0"/>
    <n v="0"/>
    <n v="0"/>
    <n v="0"/>
    <n v="0"/>
    <n v="0"/>
    <n v="0"/>
    <n v="0"/>
    <n v="0"/>
    <n v="0"/>
    <n v="0"/>
    <n v="0"/>
    <n v="0"/>
    <n v="0"/>
    <n v="0"/>
    <n v="0"/>
    <n v="0"/>
    <n v="0"/>
    <n v="0"/>
    <n v="0"/>
    <n v="0"/>
    <n v="0"/>
    <n v="0"/>
    <n v="0"/>
    <n v="0"/>
    <n v="0"/>
    <n v="0"/>
    <n v="0"/>
    <n v="0"/>
    <n v="0"/>
    <n v="0"/>
    <n v="0"/>
    <n v="0"/>
    <n v="0"/>
    <n v="0"/>
    <n v="0"/>
    <n v="0"/>
    <n v="0"/>
    <n v="0"/>
    <n v="0"/>
    <n v="0"/>
    <n v="0"/>
  </r>
  <r>
    <s v="Titanium Dioxide Production"/>
    <x v="2"/>
    <x v="3"/>
    <n v="0"/>
    <n v="0"/>
    <n v="0"/>
    <n v="0"/>
    <n v="0"/>
    <n v="0"/>
    <n v="0"/>
    <n v="0"/>
    <n v="0"/>
    <n v="0"/>
    <n v="0"/>
    <n v="0"/>
    <n v="0"/>
    <n v="0"/>
    <n v="0"/>
    <n v="0"/>
    <n v="0"/>
    <n v="0"/>
    <n v="0"/>
    <n v="0"/>
    <n v="0"/>
    <n v="0"/>
    <n v="0"/>
    <n v="0"/>
    <n v="0"/>
    <n v="0"/>
    <n v="0"/>
    <n v="0"/>
    <n v="0"/>
    <n v="0"/>
    <n v="0"/>
    <n v="0"/>
    <n v="0"/>
    <n v="0"/>
    <n v="0"/>
    <n v="0"/>
    <n v="0"/>
    <n v="0"/>
    <n v="0"/>
    <n v="0"/>
    <n v="0"/>
    <n v="0"/>
    <n v="0"/>
    <n v="0"/>
    <n v="0"/>
  </r>
  <r>
    <s v="Zinc Production"/>
    <x v="2"/>
    <x v="3"/>
    <n v="0"/>
    <n v="0"/>
    <n v="0"/>
    <n v="0"/>
    <n v="0"/>
    <n v="0"/>
    <n v="0"/>
    <n v="0"/>
    <n v="0"/>
    <n v="0"/>
    <n v="0"/>
    <n v="0"/>
    <n v="0"/>
    <n v="0"/>
    <n v="0"/>
    <n v="0"/>
    <n v="0"/>
    <n v="0"/>
    <n v="0"/>
    <n v="0"/>
    <n v="0"/>
    <n v="0"/>
    <n v="0"/>
    <n v="0"/>
    <n v="0"/>
    <n v="0"/>
    <n v="0"/>
    <n v="0"/>
    <n v="0"/>
    <n v="0"/>
    <n v="0"/>
    <n v="0"/>
    <n v="0"/>
    <n v="0"/>
    <n v="0"/>
    <n v="0"/>
    <n v="0"/>
    <n v="0"/>
    <n v="0"/>
    <n v="0"/>
    <n v="0"/>
    <n v="0"/>
    <n v="0"/>
    <n v="0"/>
    <n v="0"/>
  </r>
  <r>
    <s v="Phosphoric Acid Production"/>
    <x v="1"/>
    <x v="3"/>
    <n v="0"/>
    <n v="0"/>
    <n v="0"/>
    <n v="0"/>
    <n v="0"/>
    <n v="0"/>
    <n v="0"/>
    <n v="0"/>
    <n v="0"/>
    <n v="0"/>
    <n v="0"/>
    <n v="0"/>
    <n v="0"/>
    <n v="0"/>
    <n v="0"/>
    <n v="0"/>
    <n v="0"/>
    <n v="0"/>
    <n v="0"/>
    <n v="0"/>
    <n v="0"/>
    <n v="0"/>
    <n v="0"/>
    <n v="0"/>
    <n v="0"/>
    <n v="0"/>
    <n v="0"/>
    <n v="0"/>
    <n v="0"/>
    <n v="0"/>
    <n v="0"/>
    <n v="0"/>
    <n v="0"/>
    <n v="0"/>
    <n v="0"/>
    <n v="0"/>
    <n v="0"/>
    <n v="0"/>
    <n v="0"/>
    <n v="0"/>
    <n v="0"/>
    <n v="0"/>
    <n v="0"/>
    <n v="0"/>
    <n v="0"/>
  </r>
  <r>
    <s v="Lead Production"/>
    <x v="2"/>
    <x v="3"/>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3"/>
    <n v="0"/>
    <n v="0"/>
    <n v="0"/>
    <n v="0"/>
    <n v="0"/>
    <n v="0"/>
    <n v="0"/>
    <n v="0"/>
    <n v="0"/>
    <n v="0"/>
    <n v="0"/>
    <n v="0"/>
    <n v="0"/>
    <n v="0"/>
    <n v="0"/>
    <n v="0"/>
    <n v="0"/>
    <n v="0"/>
    <n v="0"/>
    <n v="0"/>
    <n v="0"/>
    <n v="0"/>
    <n v="0"/>
    <n v="0"/>
    <n v="0"/>
    <n v="0"/>
    <n v="0"/>
    <n v="0"/>
    <n v="0"/>
    <n v="0"/>
    <n v="0"/>
    <n v="0"/>
    <n v="0"/>
    <n v="0"/>
    <n v="0"/>
    <n v="0"/>
    <n v="0"/>
    <n v="0"/>
    <n v="0"/>
    <n v="0"/>
    <n v="0"/>
    <n v="0"/>
    <n v="0"/>
    <n v="0"/>
    <n v="0"/>
  </r>
  <r>
    <s v="Wastewater Treatment (Industrial)"/>
    <x v="6"/>
    <x v="3"/>
    <n v="0"/>
    <n v="0"/>
    <n v="0"/>
    <n v="0"/>
    <n v="0"/>
    <n v="0"/>
    <n v="0"/>
    <n v="0"/>
    <n v="0"/>
    <n v="0"/>
    <n v="0"/>
    <n v="0"/>
    <n v="0"/>
    <n v="0"/>
    <n v="0"/>
    <n v="0"/>
    <n v="0"/>
    <n v="0"/>
    <n v="0"/>
    <n v="0"/>
    <n v="0"/>
    <n v="0"/>
    <n v="0"/>
    <n v="0"/>
    <n v="0"/>
    <n v="0"/>
    <n v="0"/>
    <n v="0"/>
    <n v="0"/>
    <n v="0"/>
    <n v="0"/>
    <n v="0"/>
    <n v="0"/>
    <n v="0"/>
    <n v="0"/>
    <n v="0"/>
    <n v="0"/>
    <n v="0"/>
    <n v="0"/>
    <n v="0"/>
    <n v="0"/>
    <n v="0"/>
    <n v="0"/>
    <n v="0"/>
    <n v="0"/>
  </r>
  <r>
    <s v="Composting"/>
    <x v="6"/>
    <x v="3"/>
    <n v="0"/>
    <n v="0"/>
    <n v="0"/>
    <n v="0"/>
    <n v="0"/>
    <n v="0"/>
    <n v="0"/>
    <n v="0"/>
    <n v="0"/>
    <n v="0"/>
    <n v="0"/>
    <n v="0"/>
    <n v="0"/>
    <n v="0"/>
    <n v="0"/>
    <n v="0"/>
    <n v="0"/>
    <n v="0"/>
    <n v="0"/>
    <n v="0"/>
    <n v="0"/>
    <n v="0"/>
    <n v="0"/>
    <n v="0"/>
    <n v="0"/>
    <n v="0"/>
    <n v="0"/>
    <n v="0"/>
    <n v="0"/>
    <n v="0"/>
    <n v="0"/>
    <n v="0"/>
    <n v="0"/>
    <n v="0"/>
    <n v="0"/>
    <n v="0"/>
    <n v="0"/>
    <n v="0"/>
    <n v="0"/>
    <n v="0"/>
    <n v="0"/>
    <n v="0"/>
    <n v="0"/>
    <n v="0"/>
    <n v="0"/>
  </r>
  <r>
    <s v="N₂O from Product Uses"/>
    <x v="2"/>
    <x v="3"/>
    <n v="0"/>
    <n v="0"/>
    <n v="0"/>
    <n v="0"/>
    <n v="0"/>
    <n v="0"/>
    <n v="0"/>
    <n v="0"/>
    <n v="0"/>
    <n v="0"/>
    <n v="0"/>
    <n v="0"/>
    <n v="0"/>
    <n v="0"/>
    <n v="0"/>
    <n v="0"/>
    <n v="0"/>
    <n v="0"/>
    <n v="0"/>
    <n v="0"/>
    <n v="0"/>
    <n v="0"/>
    <n v="0"/>
    <n v="0"/>
    <n v="0"/>
    <n v="0"/>
    <n v="0"/>
    <n v="0"/>
    <n v="0"/>
    <n v="0"/>
    <n v="0"/>
    <n v="0"/>
    <n v="0"/>
    <n v="0"/>
    <n v="0"/>
    <n v="0"/>
    <n v="0"/>
    <n v="0"/>
    <n v="0"/>
    <n v="0"/>
    <n v="0"/>
    <n v="0"/>
    <n v="0"/>
    <n v="0"/>
    <n v="0"/>
  </r>
  <r>
    <s v="Other Process Uses of Carbonates"/>
    <x v="3"/>
    <x v="3"/>
    <n v="0"/>
    <n v="0"/>
    <n v="0"/>
    <n v="0"/>
    <n v="0"/>
    <n v="0"/>
    <n v="0"/>
    <n v="0"/>
    <n v="0"/>
    <n v="0"/>
    <n v="0"/>
    <n v="0"/>
    <n v="0"/>
    <n v="0"/>
    <n v="0"/>
    <n v="0"/>
    <n v="0"/>
    <n v="0"/>
    <n v="0"/>
    <n v="0"/>
    <n v="0"/>
    <n v="0"/>
    <n v="0"/>
    <n v="0"/>
    <n v="0"/>
    <n v="0"/>
    <n v="0"/>
    <n v="0"/>
    <n v="0"/>
    <n v="0"/>
    <n v="0"/>
    <n v="0"/>
    <n v="0"/>
    <n v="0"/>
    <n v="0"/>
    <n v="0"/>
    <n v="0"/>
    <n v="0"/>
    <n v="0"/>
    <n v="0"/>
    <n v="0"/>
    <n v="0"/>
    <n v="0"/>
    <n v="0"/>
    <n v="0"/>
  </r>
  <r>
    <s v="Urea Fertilization"/>
    <x v="2"/>
    <x v="3"/>
    <n v="0"/>
    <n v="0"/>
    <n v="0"/>
    <n v="0"/>
    <n v="0"/>
    <n v="0"/>
    <n v="0"/>
    <n v="0"/>
    <n v="0"/>
    <n v="0"/>
    <n v="0"/>
    <n v="0"/>
    <n v="0"/>
    <n v="0"/>
    <n v="0"/>
    <n v="0"/>
    <n v="0"/>
    <n v="0"/>
    <n v="0"/>
    <n v="0"/>
    <n v="0"/>
    <n v="0"/>
    <n v="0"/>
    <n v="0"/>
    <n v="0"/>
    <n v="0"/>
    <n v="0"/>
    <n v="0"/>
    <n v="0"/>
    <n v="0"/>
    <n v="0"/>
    <n v="0"/>
    <n v="0"/>
    <n v="0"/>
    <n v="0"/>
    <n v="0"/>
    <n v="0"/>
    <n v="0"/>
    <n v="0"/>
    <n v="0"/>
    <n v="0"/>
    <n v="0"/>
    <n v="0"/>
    <n v="0"/>
    <n v="0"/>
  </r>
  <r>
    <s v="Incineration of Waste"/>
    <x v="7"/>
    <x v="3"/>
    <n v="0"/>
    <n v="0"/>
    <n v="0"/>
    <n v="0"/>
    <n v="0"/>
    <n v="0"/>
    <n v="0"/>
    <n v="0"/>
    <n v="0"/>
    <n v="0"/>
    <n v="0"/>
    <n v="0"/>
    <n v="0"/>
    <n v="0"/>
    <n v="0"/>
    <n v="0"/>
    <n v="0"/>
    <n v="0"/>
    <n v="0"/>
    <n v="0"/>
    <n v="0"/>
    <n v="0"/>
    <n v="0"/>
    <n v="0"/>
    <n v="0"/>
    <n v="0"/>
    <n v="0"/>
    <n v="0"/>
    <n v="0"/>
    <n v="0"/>
    <n v="0"/>
    <n v="0"/>
    <n v="0"/>
    <n v="0"/>
    <n v="0"/>
    <n v="0"/>
    <n v="0"/>
    <n v="0"/>
    <n v="0"/>
    <n v="0"/>
    <n v="0"/>
    <n v="0"/>
    <n v="0"/>
    <n v="0"/>
    <n v="0"/>
  </r>
  <r>
    <s v="Liming"/>
    <x v="2"/>
    <x v="3"/>
    <n v="0"/>
    <n v="0"/>
    <n v="0"/>
    <n v="0"/>
    <n v="0"/>
    <n v="0"/>
    <n v="0"/>
    <n v="0"/>
    <n v="0"/>
    <n v="0"/>
    <n v="0"/>
    <n v="0"/>
    <n v="0"/>
    <n v="0"/>
    <n v="0"/>
    <n v="0"/>
    <n v="0"/>
    <n v="0"/>
    <n v="0"/>
    <n v="0"/>
    <n v="0"/>
    <n v="0"/>
    <n v="0"/>
    <n v="0"/>
    <n v="0"/>
    <n v="0"/>
    <n v="0"/>
    <n v="0"/>
    <n v="0"/>
    <n v="0"/>
    <n v="0"/>
    <n v="0"/>
    <n v="0"/>
    <n v="0"/>
    <n v="0"/>
    <n v="0"/>
    <n v="0"/>
    <n v="0"/>
    <n v="0"/>
    <n v="0"/>
    <n v="0"/>
    <n v="0"/>
    <n v="0"/>
    <n v="0"/>
    <n v="0"/>
  </r>
  <r>
    <s v="Glass Production"/>
    <x v="2"/>
    <x v="3"/>
    <n v="0"/>
    <n v="0"/>
    <n v="0"/>
    <n v="0"/>
    <n v="0"/>
    <n v="0"/>
    <n v="0"/>
    <n v="0"/>
    <n v="0"/>
    <n v="0"/>
    <n v="0"/>
    <n v="0"/>
    <n v="0"/>
    <n v="0"/>
    <n v="0"/>
    <n v="0"/>
    <n v="0"/>
    <n v="0"/>
    <n v="0"/>
    <n v="0"/>
    <n v="0"/>
    <n v="0"/>
    <n v="0"/>
    <n v="0"/>
    <n v="0"/>
    <n v="0"/>
    <n v="0"/>
    <n v="0"/>
    <n v="0"/>
    <n v="0"/>
    <n v="0"/>
    <n v="0"/>
    <n v="0"/>
    <n v="0"/>
    <n v="0"/>
    <n v="0"/>
    <n v="0"/>
    <n v="0"/>
    <n v="0"/>
    <n v="0"/>
    <n v="0"/>
    <n v="0"/>
    <n v="0"/>
    <n v="0"/>
    <n v="0"/>
  </r>
  <r>
    <s v="Abandoned Underground Coal Mines"/>
    <x v="0"/>
    <x v="4"/>
    <n v="0"/>
    <n v="0"/>
    <n v="0"/>
    <n v="0"/>
    <n v="0"/>
    <n v="0"/>
    <n v="0"/>
    <n v="0"/>
    <n v="0"/>
    <n v="0"/>
    <n v="0"/>
    <n v="0"/>
    <n v="0"/>
    <n v="0"/>
    <n v="0"/>
    <n v="0"/>
    <n v="0"/>
    <n v="0"/>
    <n v="0"/>
    <n v="0"/>
    <n v="0"/>
    <n v="0"/>
    <n v="0"/>
    <n v="0"/>
    <n v="0"/>
    <n v="0"/>
    <n v="0"/>
    <n v="0"/>
    <n v="0"/>
    <n v="0"/>
    <n v="0"/>
    <n v="0"/>
    <n v="0"/>
    <n v="0"/>
    <n v="0"/>
    <n v="0"/>
    <n v="0"/>
    <n v="0"/>
    <n v="0"/>
    <n v="0"/>
    <n v="0"/>
    <n v="0"/>
    <n v="0"/>
    <n v="0"/>
    <n v="0"/>
  </r>
  <r>
    <s v="Nitric Acid Production"/>
    <x v="1"/>
    <x v="4"/>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4"/>
    <n v="0"/>
    <n v="0"/>
    <n v="0"/>
    <n v="0"/>
    <n v="0"/>
    <n v="0"/>
    <n v="0"/>
    <n v="0"/>
    <n v="0"/>
    <n v="0"/>
    <n v="0"/>
    <n v="0"/>
    <n v="0"/>
    <n v="0"/>
    <n v="0"/>
    <n v="0"/>
    <n v="0"/>
    <n v="0"/>
    <n v="0"/>
    <n v="0"/>
    <n v="0"/>
    <n v="0"/>
    <n v="0"/>
    <n v="0"/>
    <n v="0"/>
    <n v="0"/>
    <n v="0"/>
    <n v="0"/>
    <n v="0"/>
    <n v="0"/>
    <n v="0"/>
    <n v="0"/>
    <n v="0"/>
    <n v="0"/>
    <n v="0"/>
    <n v="0"/>
    <n v="0"/>
    <n v="0"/>
    <n v="0"/>
    <n v="0"/>
    <n v="0"/>
    <n v="0"/>
    <n v="0"/>
    <n v="0"/>
    <n v="0"/>
  </r>
  <r>
    <s v="Ferroalloy Production"/>
    <x v="2"/>
    <x v="4"/>
    <n v="0"/>
    <n v="0"/>
    <n v="0"/>
    <n v="0"/>
    <n v="0"/>
    <n v="0"/>
    <n v="0"/>
    <n v="0"/>
    <n v="0"/>
    <n v="0"/>
    <n v="0"/>
    <n v="0"/>
    <n v="0"/>
    <n v="0"/>
    <n v="0"/>
    <n v="0"/>
    <n v="0"/>
    <n v="0"/>
    <n v="0"/>
    <n v="0"/>
    <n v="0"/>
    <n v="0"/>
    <n v="0"/>
    <n v="0"/>
    <n v="0"/>
    <n v="0"/>
    <n v="0"/>
    <n v="0"/>
    <n v="0"/>
    <n v="0"/>
    <n v="0"/>
    <n v="0"/>
    <n v="0"/>
    <n v="0"/>
    <n v="0"/>
    <n v="0"/>
    <n v="0"/>
    <n v="0"/>
    <n v="0"/>
    <n v="0"/>
    <n v="0"/>
    <n v="0"/>
    <n v="0"/>
    <n v="0"/>
    <n v="0"/>
  </r>
  <r>
    <s v="Lime Production"/>
    <x v="3"/>
    <x v="4"/>
    <n v="0"/>
    <n v="0"/>
    <n v="0"/>
    <n v="0"/>
    <n v="0"/>
    <n v="0"/>
    <n v="0"/>
    <n v="0"/>
    <n v="0"/>
    <n v="0"/>
    <n v="0"/>
    <n v="0"/>
    <n v="0"/>
    <n v="0"/>
    <n v="0"/>
    <n v="0"/>
    <n v="0"/>
    <n v="0"/>
    <n v="0"/>
    <n v="0"/>
    <n v="0"/>
    <n v="0"/>
    <n v="0"/>
    <n v="0"/>
    <n v="0"/>
    <n v="0"/>
    <n v="0"/>
    <n v="0"/>
    <n v="0"/>
    <n v="0"/>
    <n v="0"/>
    <n v="0"/>
    <n v="0"/>
    <n v="0"/>
    <n v="0"/>
    <n v="0"/>
    <n v="0"/>
    <n v="0"/>
    <n v="0"/>
    <n v="0"/>
    <n v="0"/>
    <n v="0"/>
    <n v="0"/>
    <n v="0"/>
    <n v="0"/>
  </r>
  <r>
    <s v="Limestone and Dolomite Use"/>
    <x v="3"/>
    <x v="4"/>
    <n v="0"/>
    <n v="0"/>
    <n v="0"/>
    <n v="0"/>
    <n v="0"/>
    <n v="0"/>
    <n v="0"/>
    <n v="0"/>
    <n v="0"/>
    <n v="0"/>
    <n v="0"/>
    <n v="0"/>
    <n v="0"/>
    <n v="0"/>
    <n v="0"/>
    <n v="0"/>
    <n v="0"/>
    <n v="0"/>
    <n v="0"/>
    <n v="0"/>
    <n v="0"/>
    <n v="0"/>
    <n v="0"/>
    <n v="0"/>
    <n v="0"/>
    <n v="0"/>
    <n v="0"/>
    <n v="0"/>
    <n v="0"/>
    <n v="0"/>
    <n v="0"/>
    <n v="0"/>
    <n v="0"/>
    <n v="0"/>
    <n v="0"/>
    <n v="0"/>
    <n v="0"/>
    <n v="0"/>
    <n v="0"/>
    <n v="0"/>
    <n v="0"/>
    <n v="0"/>
    <n v="0"/>
    <n v="0"/>
    <n v="0"/>
  </r>
  <r>
    <s v="Ammonia Production"/>
    <x v="1"/>
    <x v="4"/>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4"/>
    <n v="0"/>
    <n v="0"/>
    <n v="0"/>
    <n v="0"/>
    <n v="0"/>
    <n v="0"/>
    <n v="0"/>
    <n v="0"/>
    <n v="0"/>
    <n v="0"/>
    <n v="0"/>
    <n v="0"/>
    <n v="0"/>
    <n v="0"/>
    <n v="0"/>
    <n v="0"/>
    <n v="0"/>
    <n v="0"/>
    <n v="0"/>
    <n v="0"/>
    <n v="0"/>
    <n v="0"/>
    <n v="0"/>
    <n v="0"/>
    <n v="0"/>
    <n v="0"/>
    <n v="0"/>
    <n v="0"/>
    <n v="0"/>
    <n v="0"/>
    <n v="0"/>
    <n v="0"/>
    <n v="0"/>
    <n v="0"/>
    <n v="0"/>
    <n v="0"/>
    <n v="0"/>
    <n v="0"/>
    <n v="0"/>
    <n v="0"/>
    <n v="0"/>
    <n v="0"/>
    <n v="0"/>
    <n v="0"/>
    <n v="0"/>
  </r>
  <r>
    <s v="Soda Ash Production and Consumption"/>
    <x v="1"/>
    <x v="4"/>
    <n v="0"/>
    <n v="0"/>
    <n v="0"/>
    <n v="0"/>
    <n v="0"/>
    <n v="0"/>
    <n v="0"/>
    <n v="0"/>
    <n v="0"/>
    <n v="0"/>
    <n v="0"/>
    <n v="0"/>
    <n v="0"/>
    <n v="0"/>
    <n v="0"/>
    <n v="0"/>
    <n v="0"/>
    <n v="0"/>
    <n v="0"/>
    <n v="0"/>
    <n v="0"/>
    <n v="0"/>
    <n v="0"/>
    <n v="0"/>
    <n v="0"/>
    <n v="0"/>
    <n v="0"/>
    <n v="0"/>
    <n v="0"/>
    <n v="0"/>
    <n v="0"/>
    <n v="0"/>
    <n v="0"/>
    <n v="0"/>
    <n v="0"/>
    <n v="0"/>
    <n v="0"/>
    <n v="0"/>
    <n v="0"/>
    <n v="0"/>
    <n v="0"/>
    <n v="0"/>
    <n v="0"/>
    <n v="0"/>
    <n v="0"/>
  </r>
  <r>
    <s v="Petrochemical Production"/>
    <x v="4"/>
    <x v="4"/>
    <n v="0"/>
    <n v="0"/>
    <n v="0"/>
    <n v="0"/>
    <n v="0"/>
    <n v="0"/>
    <n v="0"/>
    <n v="0"/>
    <n v="0"/>
    <n v="0"/>
    <n v="0"/>
    <n v="0"/>
    <n v="0"/>
    <n v="0"/>
    <n v="0"/>
    <n v="0"/>
    <n v="0"/>
    <n v="0"/>
    <n v="0"/>
    <n v="0"/>
    <n v="0"/>
    <n v="0"/>
    <n v="0"/>
    <n v="0"/>
    <n v="0"/>
    <n v="0"/>
    <n v="0"/>
    <n v="0"/>
    <n v="0"/>
    <n v="0"/>
    <n v="0"/>
    <n v="0"/>
    <n v="0"/>
    <n v="0"/>
    <n v="0"/>
    <n v="0"/>
    <n v="0"/>
    <n v="0"/>
    <n v="0"/>
    <n v="0"/>
    <n v="0"/>
    <n v="0"/>
    <n v="0"/>
    <n v="0"/>
    <n v="0"/>
  </r>
  <r>
    <s v="Carbon Dioxide Consumption"/>
    <x v="2"/>
    <x v="4"/>
    <n v="0"/>
    <n v="0"/>
    <n v="0"/>
    <n v="0"/>
    <n v="0"/>
    <n v="0"/>
    <n v="0"/>
    <n v="0"/>
    <n v="0"/>
    <n v="0"/>
    <n v="0"/>
    <n v="0"/>
    <n v="0"/>
    <n v="0"/>
    <n v="0"/>
    <n v="0"/>
    <n v="0"/>
    <n v="0"/>
    <n v="0"/>
    <n v="0"/>
    <n v="0"/>
    <n v="0"/>
    <n v="0"/>
    <n v="0"/>
    <n v="0"/>
    <n v="0"/>
    <n v="0"/>
    <n v="0"/>
    <n v="0"/>
    <n v="0"/>
    <n v="0"/>
    <n v="0"/>
    <n v="0"/>
    <n v="0"/>
    <n v="0"/>
    <n v="0"/>
    <n v="0"/>
    <n v="0"/>
    <n v="0"/>
    <n v="0"/>
    <n v="0"/>
    <n v="0"/>
    <n v="0"/>
    <n v="0"/>
    <n v="0"/>
  </r>
  <r>
    <s v="Titanium Dioxide Production"/>
    <x v="2"/>
    <x v="4"/>
    <n v="0"/>
    <n v="0"/>
    <n v="0"/>
    <n v="0"/>
    <n v="0"/>
    <n v="0"/>
    <n v="0"/>
    <n v="0"/>
    <n v="0"/>
    <n v="0"/>
    <n v="0"/>
    <n v="0"/>
    <n v="0"/>
    <n v="0"/>
    <n v="0"/>
    <n v="0"/>
    <n v="0"/>
    <n v="0"/>
    <n v="0"/>
    <n v="0"/>
    <n v="0"/>
    <n v="0"/>
    <n v="0"/>
    <n v="0"/>
    <n v="0"/>
    <n v="0"/>
    <n v="0"/>
    <n v="0"/>
    <n v="0"/>
    <n v="0"/>
    <n v="0"/>
    <n v="0"/>
    <n v="0"/>
    <n v="0"/>
    <n v="0"/>
    <n v="0"/>
    <n v="0"/>
    <n v="0"/>
    <n v="0"/>
    <n v="0"/>
    <n v="0"/>
    <n v="0"/>
    <n v="0"/>
    <n v="0"/>
    <n v="0"/>
  </r>
  <r>
    <s v="Zinc Production"/>
    <x v="2"/>
    <x v="4"/>
    <n v="0"/>
    <n v="0"/>
    <n v="0"/>
    <n v="0"/>
    <n v="0"/>
    <n v="0"/>
    <n v="0"/>
    <n v="0"/>
    <n v="0"/>
    <n v="0"/>
    <n v="0"/>
    <n v="0"/>
    <n v="0"/>
    <n v="0"/>
    <n v="0"/>
    <n v="0"/>
    <n v="0"/>
    <n v="0"/>
    <n v="0"/>
    <n v="0"/>
    <n v="0"/>
    <n v="0"/>
    <n v="0"/>
    <n v="0"/>
    <n v="0"/>
    <n v="0"/>
    <n v="0"/>
    <n v="0"/>
    <n v="0"/>
    <n v="0"/>
    <n v="0"/>
    <n v="0"/>
    <n v="0"/>
    <n v="0"/>
    <n v="0"/>
    <n v="0"/>
    <n v="0"/>
    <n v="0"/>
    <n v="0"/>
    <n v="0"/>
    <n v="0"/>
    <n v="0"/>
    <n v="0"/>
    <n v="0"/>
    <n v="0"/>
  </r>
  <r>
    <s v="Phosphoric Acid Production"/>
    <x v="1"/>
    <x v="4"/>
    <n v="0"/>
    <n v="0"/>
    <n v="0"/>
    <n v="0"/>
    <n v="0"/>
    <n v="0"/>
    <n v="0"/>
    <n v="0"/>
    <n v="0"/>
    <n v="0"/>
    <n v="0"/>
    <n v="0"/>
    <n v="0"/>
    <n v="0"/>
    <n v="0"/>
    <n v="0"/>
    <n v="0"/>
    <n v="0"/>
    <n v="0"/>
    <n v="0"/>
    <n v="0"/>
    <n v="0"/>
    <n v="0"/>
    <n v="0"/>
    <n v="0"/>
    <n v="0"/>
    <n v="0"/>
    <n v="0"/>
    <n v="0"/>
    <n v="0"/>
    <n v="0"/>
    <n v="0"/>
    <n v="0"/>
    <n v="0"/>
    <n v="0"/>
    <n v="0"/>
    <n v="0"/>
    <n v="0"/>
    <n v="0"/>
    <n v="0"/>
    <n v="0"/>
    <n v="0"/>
    <n v="0"/>
    <n v="0"/>
    <n v="0"/>
  </r>
  <r>
    <s v="Lead Production"/>
    <x v="2"/>
    <x v="4"/>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4"/>
    <n v="0"/>
    <n v="0"/>
    <n v="0"/>
    <n v="0"/>
    <n v="0"/>
    <n v="0"/>
    <n v="0"/>
    <n v="0"/>
    <n v="0"/>
    <n v="0"/>
    <n v="0"/>
    <n v="0"/>
    <n v="0"/>
    <n v="0"/>
    <n v="0"/>
    <n v="0"/>
    <n v="0"/>
    <n v="0"/>
    <n v="0"/>
    <n v="0"/>
    <n v="0"/>
    <n v="0"/>
    <n v="0"/>
    <n v="0"/>
    <n v="0"/>
    <n v="0"/>
    <n v="0"/>
    <n v="0"/>
    <n v="0"/>
    <n v="0"/>
    <n v="0"/>
    <n v="0"/>
    <n v="0"/>
    <n v="0"/>
    <n v="0"/>
    <n v="0"/>
    <n v="0"/>
    <n v="0"/>
    <n v="0"/>
    <n v="0"/>
    <n v="0"/>
    <n v="0"/>
    <n v="0"/>
    <n v="0"/>
    <n v="0"/>
  </r>
  <r>
    <s v="Wastewater Treatment (Industrial)"/>
    <x v="6"/>
    <x v="4"/>
    <n v="0"/>
    <n v="0"/>
    <n v="0"/>
    <n v="0"/>
    <n v="0"/>
    <n v="0"/>
    <n v="0"/>
    <n v="0"/>
    <n v="0"/>
    <n v="0"/>
    <n v="0"/>
    <n v="0"/>
    <n v="0"/>
    <n v="0"/>
    <n v="0"/>
    <n v="0"/>
    <n v="0"/>
    <n v="0"/>
    <n v="0"/>
    <n v="0"/>
    <n v="0"/>
    <n v="0"/>
    <n v="0"/>
    <n v="0"/>
    <n v="0"/>
    <n v="0"/>
    <n v="0"/>
    <n v="0"/>
    <n v="0"/>
    <n v="0"/>
    <n v="0"/>
    <n v="0"/>
    <n v="0"/>
    <n v="0"/>
    <n v="0"/>
    <n v="0"/>
    <n v="0"/>
    <n v="0"/>
    <n v="0"/>
    <n v="0"/>
    <n v="0"/>
    <n v="0"/>
    <n v="0"/>
    <n v="0"/>
    <n v="0"/>
  </r>
  <r>
    <s v="Composting"/>
    <x v="6"/>
    <x v="4"/>
    <n v="0"/>
    <n v="0"/>
    <n v="0"/>
    <n v="0"/>
    <n v="0"/>
    <n v="0"/>
    <n v="0"/>
    <n v="0"/>
    <n v="0"/>
    <n v="0"/>
    <n v="0"/>
    <n v="0"/>
    <n v="0"/>
    <n v="0"/>
    <n v="0"/>
    <n v="0"/>
    <n v="0"/>
    <n v="0"/>
    <n v="0"/>
    <n v="0"/>
    <n v="0"/>
    <n v="0"/>
    <n v="0"/>
    <n v="0"/>
    <n v="0"/>
    <n v="0"/>
    <n v="0"/>
    <n v="0"/>
    <n v="0"/>
    <n v="0"/>
    <n v="0"/>
    <n v="0"/>
    <n v="0"/>
    <n v="0"/>
    <n v="0"/>
    <n v="0"/>
    <n v="0"/>
    <n v="0"/>
    <n v="0"/>
    <n v="0"/>
    <n v="0"/>
    <n v="0"/>
    <n v="0"/>
    <n v="0"/>
    <n v="0"/>
  </r>
  <r>
    <s v="N₂O from Product Uses"/>
    <x v="2"/>
    <x v="4"/>
    <n v="0"/>
    <n v="0"/>
    <n v="0"/>
    <n v="0"/>
    <n v="0"/>
    <n v="0"/>
    <n v="0"/>
    <n v="0"/>
    <n v="0"/>
    <n v="0"/>
    <n v="0"/>
    <n v="0"/>
    <n v="0"/>
    <n v="0"/>
    <n v="0"/>
    <n v="0"/>
    <n v="0"/>
    <n v="0"/>
    <n v="0"/>
    <n v="0"/>
    <n v="0"/>
    <n v="0"/>
    <n v="0"/>
    <n v="0"/>
    <n v="0"/>
    <n v="0"/>
    <n v="0"/>
    <n v="0"/>
    <n v="0"/>
    <n v="0"/>
    <n v="0"/>
    <n v="0"/>
    <n v="0"/>
    <n v="0"/>
    <n v="0"/>
    <n v="0"/>
    <n v="0"/>
    <n v="0"/>
    <n v="0"/>
    <n v="0"/>
    <n v="0"/>
    <n v="0"/>
    <n v="0"/>
    <n v="0"/>
    <n v="0"/>
  </r>
  <r>
    <s v="Other Process Uses of Carbonates"/>
    <x v="3"/>
    <x v="4"/>
    <n v="0"/>
    <n v="0"/>
    <n v="0"/>
    <n v="0"/>
    <n v="0"/>
    <n v="0"/>
    <n v="0"/>
    <n v="0"/>
    <n v="0"/>
    <n v="0"/>
    <n v="0"/>
    <n v="0"/>
    <n v="0"/>
    <n v="0"/>
    <n v="0"/>
    <n v="0"/>
    <n v="0"/>
    <n v="0"/>
    <n v="0"/>
    <n v="0"/>
    <n v="0"/>
    <n v="0"/>
    <n v="0"/>
    <n v="0"/>
    <n v="0"/>
    <n v="0"/>
    <n v="0"/>
    <n v="0"/>
    <n v="0"/>
    <n v="0"/>
    <n v="0"/>
    <n v="0"/>
    <n v="0"/>
    <n v="0"/>
    <n v="0"/>
    <n v="0"/>
    <n v="0"/>
    <n v="0"/>
    <n v="0"/>
    <n v="0"/>
    <n v="0"/>
    <n v="0"/>
    <n v="0"/>
    <n v="0"/>
    <n v="0"/>
  </r>
  <r>
    <s v="Urea Fertilization"/>
    <x v="2"/>
    <x v="4"/>
    <n v="0"/>
    <n v="0"/>
    <n v="0"/>
    <n v="0"/>
    <n v="0"/>
    <n v="0"/>
    <n v="0"/>
    <n v="0"/>
    <n v="0"/>
    <n v="0"/>
    <n v="0"/>
    <n v="0"/>
    <n v="0"/>
    <n v="0"/>
    <n v="0"/>
    <n v="0"/>
    <n v="0"/>
    <n v="0"/>
    <n v="0"/>
    <n v="0"/>
    <n v="0"/>
    <n v="0"/>
    <n v="0"/>
    <n v="0"/>
    <n v="0"/>
    <n v="0"/>
    <n v="0"/>
    <n v="0"/>
    <n v="0"/>
    <n v="0"/>
    <n v="0"/>
    <n v="0"/>
    <n v="0"/>
    <n v="0"/>
    <n v="0"/>
    <n v="0"/>
    <n v="0"/>
    <n v="0"/>
    <n v="0"/>
    <n v="0"/>
    <n v="0"/>
    <n v="0"/>
    <n v="0"/>
    <n v="0"/>
    <n v="0"/>
  </r>
  <r>
    <s v="Incineration of Waste"/>
    <x v="7"/>
    <x v="4"/>
    <n v="0"/>
    <n v="0"/>
    <n v="0"/>
    <n v="0"/>
    <n v="0"/>
    <n v="0"/>
    <n v="0"/>
    <n v="0"/>
    <n v="0"/>
    <n v="0"/>
    <n v="0"/>
    <n v="0"/>
    <n v="0"/>
    <n v="0"/>
    <n v="0"/>
    <n v="0"/>
    <n v="0"/>
    <n v="0"/>
    <n v="0"/>
    <n v="0"/>
    <n v="0"/>
    <n v="0"/>
    <n v="0"/>
    <n v="0"/>
    <n v="0"/>
    <n v="0"/>
    <n v="0"/>
    <n v="0"/>
    <n v="0"/>
    <n v="0"/>
    <n v="0"/>
    <n v="0"/>
    <n v="0"/>
    <n v="0"/>
    <n v="0"/>
    <n v="0"/>
    <n v="0"/>
    <n v="0"/>
    <n v="0"/>
    <n v="0"/>
    <n v="0"/>
    <n v="0"/>
    <n v="0"/>
    <n v="0"/>
    <n v="0"/>
  </r>
  <r>
    <s v="Liming"/>
    <x v="2"/>
    <x v="4"/>
    <n v="0"/>
    <n v="0"/>
    <n v="0"/>
    <n v="0"/>
    <n v="0"/>
    <n v="0"/>
    <n v="0"/>
    <n v="0"/>
    <n v="0"/>
    <n v="0"/>
    <n v="0"/>
    <n v="0"/>
    <n v="0"/>
    <n v="0"/>
    <n v="0"/>
    <n v="0"/>
    <n v="0"/>
    <n v="0"/>
    <n v="0"/>
    <n v="0"/>
    <n v="0"/>
    <n v="0"/>
    <n v="0"/>
    <n v="0"/>
    <n v="0"/>
    <n v="0"/>
    <n v="0"/>
    <n v="0"/>
    <n v="0"/>
    <n v="0"/>
    <n v="0"/>
    <n v="0"/>
    <n v="0"/>
    <n v="0"/>
    <n v="0"/>
    <n v="0"/>
    <n v="0"/>
    <n v="0"/>
    <n v="0"/>
    <n v="0"/>
    <n v="0"/>
    <n v="0"/>
    <n v="0"/>
    <n v="0"/>
    <n v="0"/>
  </r>
  <r>
    <s v="Glass Production"/>
    <x v="2"/>
    <x v="4"/>
    <n v="0"/>
    <n v="0"/>
    <n v="0"/>
    <n v="0"/>
    <n v="0"/>
    <n v="0"/>
    <n v="0"/>
    <n v="0"/>
    <n v="0"/>
    <n v="0"/>
    <n v="0"/>
    <n v="0"/>
    <n v="0"/>
    <n v="0"/>
    <n v="0"/>
    <n v="0"/>
    <n v="0"/>
    <n v="0"/>
    <n v="0"/>
    <n v="0"/>
    <n v="0"/>
    <n v="0"/>
    <n v="0"/>
    <n v="0"/>
    <n v="0"/>
    <n v="0"/>
    <n v="0"/>
    <n v="0"/>
    <n v="0"/>
    <n v="0"/>
    <n v="0"/>
    <n v="0"/>
    <n v="0"/>
    <n v="0"/>
    <n v="0"/>
    <n v="0"/>
    <n v="0"/>
    <n v="0"/>
    <n v="0"/>
    <n v="0"/>
    <n v="0"/>
    <n v="0"/>
    <n v="0"/>
    <n v="0"/>
    <n v="0"/>
  </r>
  <r>
    <s v="Abandoned Underground Coal Mines"/>
    <x v="0"/>
    <x v="5"/>
    <n v="0"/>
    <n v="0"/>
    <n v="0"/>
    <n v="0"/>
    <n v="0"/>
    <n v="0"/>
    <n v="0"/>
    <n v="0"/>
    <n v="0"/>
    <n v="0"/>
    <n v="0"/>
    <n v="0"/>
    <n v="0"/>
    <n v="0"/>
    <n v="0"/>
    <n v="0"/>
    <n v="0"/>
    <n v="0"/>
    <n v="0"/>
    <n v="0"/>
    <n v="0"/>
    <n v="0"/>
    <n v="0"/>
    <n v="0"/>
    <n v="0"/>
    <n v="0"/>
    <n v="0"/>
    <n v="0"/>
    <n v="0"/>
    <n v="0"/>
    <n v="0"/>
    <n v="0"/>
    <n v="0"/>
    <n v="0"/>
    <n v="0"/>
    <n v="0"/>
    <n v="0"/>
    <n v="0"/>
    <n v="0"/>
    <n v="0"/>
    <n v="0"/>
    <n v="0"/>
    <n v="0"/>
    <n v="0"/>
    <n v="0"/>
  </r>
  <r>
    <s v="Nitric Acid Production"/>
    <x v="1"/>
    <x v="5"/>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5"/>
    <n v="0"/>
    <n v="0"/>
    <n v="0"/>
    <n v="0"/>
    <n v="0"/>
    <n v="0"/>
    <n v="0"/>
    <n v="0"/>
    <n v="0"/>
    <n v="0"/>
    <n v="0"/>
    <n v="0"/>
    <n v="0"/>
    <n v="0"/>
    <n v="0"/>
    <n v="0"/>
    <n v="0"/>
    <n v="0"/>
    <n v="0"/>
    <n v="0"/>
    <n v="0"/>
    <n v="0"/>
    <n v="0"/>
    <n v="0"/>
    <n v="0"/>
    <n v="0"/>
    <n v="0"/>
    <n v="0"/>
    <n v="0"/>
    <n v="0"/>
    <n v="0"/>
    <n v="0"/>
    <n v="0"/>
    <n v="0"/>
    <n v="0"/>
    <n v="0"/>
    <n v="0"/>
    <n v="0"/>
    <n v="0"/>
    <n v="0"/>
    <n v="0"/>
    <n v="0"/>
    <n v="0"/>
    <n v="0"/>
    <n v="0"/>
  </r>
  <r>
    <s v="Ferroalloy Production"/>
    <x v="2"/>
    <x v="5"/>
    <n v="0"/>
    <n v="0"/>
    <n v="0"/>
    <n v="0"/>
    <n v="0"/>
    <n v="0"/>
    <n v="0"/>
    <n v="0"/>
    <n v="0"/>
    <n v="0"/>
    <n v="0"/>
    <n v="0"/>
    <n v="0"/>
    <n v="0"/>
    <n v="0"/>
    <n v="0"/>
    <n v="0"/>
    <n v="0"/>
    <n v="0"/>
    <n v="0"/>
    <n v="0"/>
    <n v="0"/>
    <n v="0"/>
    <n v="0"/>
    <n v="0"/>
    <n v="0"/>
    <n v="0"/>
    <n v="0"/>
    <n v="0"/>
    <n v="0"/>
    <n v="0"/>
    <n v="0"/>
    <n v="0"/>
    <n v="0"/>
    <n v="0"/>
    <n v="0"/>
    <n v="0"/>
    <n v="0"/>
    <n v="0"/>
    <n v="0"/>
    <n v="0"/>
    <n v="0"/>
    <n v="0"/>
    <n v="0"/>
    <n v="0"/>
  </r>
  <r>
    <s v="Lime Production"/>
    <x v="3"/>
    <x v="5"/>
    <n v="0"/>
    <n v="0"/>
    <n v="0"/>
    <n v="0"/>
    <n v="0"/>
    <n v="0"/>
    <n v="0"/>
    <n v="0"/>
    <n v="0"/>
    <n v="0"/>
    <n v="0"/>
    <n v="0"/>
    <n v="0"/>
    <n v="0"/>
    <n v="0"/>
    <n v="0"/>
    <n v="0"/>
    <n v="0"/>
    <n v="0"/>
    <n v="0"/>
    <n v="0"/>
    <n v="0"/>
    <n v="0"/>
    <n v="0"/>
    <n v="0"/>
    <n v="0"/>
    <n v="0"/>
    <n v="0"/>
    <n v="0"/>
    <n v="0"/>
    <n v="0"/>
    <n v="0"/>
    <n v="0"/>
    <n v="0"/>
    <n v="0"/>
    <n v="0"/>
    <n v="0"/>
    <n v="0"/>
    <n v="0"/>
    <n v="0"/>
    <n v="0"/>
    <n v="0"/>
    <n v="0"/>
    <n v="0"/>
    <n v="0"/>
  </r>
  <r>
    <s v="Limestone and Dolomite Use"/>
    <x v="3"/>
    <x v="5"/>
    <n v="0"/>
    <n v="0"/>
    <n v="0"/>
    <n v="0"/>
    <n v="0"/>
    <n v="0"/>
    <n v="0"/>
    <n v="0"/>
    <n v="0"/>
    <n v="0"/>
    <n v="0"/>
    <n v="0"/>
    <n v="0"/>
    <n v="0"/>
    <n v="0"/>
    <n v="0"/>
    <n v="0"/>
    <n v="0"/>
    <n v="0"/>
    <n v="0"/>
    <n v="0"/>
    <n v="0"/>
    <n v="0"/>
    <n v="0"/>
    <n v="0"/>
    <n v="0"/>
    <n v="0"/>
    <n v="0"/>
    <n v="0"/>
    <n v="0"/>
    <n v="0"/>
    <n v="0"/>
    <n v="0"/>
    <n v="0"/>
    <n v="0"/>
    <n v="0"/>
    <n v="0"/>
    <n v="0"/>
    <n v="0"/>
    <n v="0"/>
    <n v="0"/>
    <n v="0"/>
    <n v="0"/>
    <n v="0"/>
    <n v="0"/>
  </r>
  <r>
    <s v="Ammonia Production"/>
    <x v="1"/>
    <x v="5"/>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5"/>
    <n v="0"/>
    <n v="0"/>
    <n v="0"/>
    <n v="0"/>
    <n v="0"/>
    <n v="0"/>
    <n v="0"/>
    <n v="0"/>
    <n v="0"/>
    <n v="0"/>
    <n v="0"/>
    <n v="0"/>
    <n v="0"/>
    <n v="0"/>
    <n v="0"/>
    <n v="0"/>
    <n v="0"/>
    <n v="0"/>
    <n v="0"/>
    <n v="0"/>
    <n v="0"/>
    <n v="0"/>
    <n v="0"/>
    <n v="0"/>
    <n v="0"/>
    <n v="0"/>
    <n v="0"/>
    <n v="0"/>
    <n v="0"/>
    <n v="0"/>
    <n v="0"/>
    <n v="0"/>
    <n v="0"/>
    <n v="0"/>
    <n v="0"/>
    <n v="0"/>
    <n v="0"/>
    <n v="0"/>
    <n v="0"/>
    <n v="0"/>
    <n v="0"/>
    <n v="0"/>
    <n v="0"/>
    <n v="0"/>
    <n v="0"/>
  </r>
  <r>
    <s v="Soda Ash Production and Consumption"/>
    <x v="1"/>
    <x v="5"/>
    <n v="0"/>
    <n v="0"/>
    <n v="0"/>
    <n v="0"/>
    <n v="0"/>
    <n v="0"/>
    <n v="0"/>
    <n v="0"/>
    <n v="0"/>
    <n v="0"/>
    <n v="0"/>
    <n v="0"/>
    <n v="0"/>
    <n v="0"/>
    <n v="0"/>
    <n v="0"/>
    <n v="0"/>
    <n v="0"/>
    <n v="0"/>
    <n v="0"/>
    <n v="0"/>
    <n v="0"/>
    <n v="0"/>
    <n v="0"/>
    <n v="0"/>
    <n v="0"/>
    <n v="0"/>
    <n v="0"/>
    <n v="0"/>
    <n v="0"/>
    <n v="0"/>
    <n v="0"/>
    <n v="0"/>
    <n v="0"/>
    <n v="0"/>
    <n v="0"/>
    <n v="0"/>
    <n v="0"/>
    <n v="0"/>
    <n v="0"/>
    <n v="0"/>
    <n v="0"/>
    <n v="0"/>
    <n v="0"/>
    <n v="0"/>
  </r>
  <r>
    <s v="Petrochemical Production"/>
    <x v="4"/>
    <x v="5"/>
    <n v="0"/>
    <n v="0"/>
    <n v="0"/>
    <n v="0"/>
    <n v="0"/>
    <n v="0"/>
    <n v="0"/>
    <n v="0"/>
    <n v="0"/>
    <n v="0"/>
    <n v="0"/>
    <n v="0"/>
    <n v="0"/>
    <n v="0"/>
    <n v="0"/>
    <n v="0"/>
    <n v="0"/>
    <n v="0"/>
    <n v="0"/>
    <n v="0"/>
    <n v="0"/>
    <n v="0"/>
    <n v="0"/>
    <n v="0"/>
    <n v="0"/>
    <n v="0"/>
    <n v="0"/>
    <n v="0"/>
    <n v="0"/>
    <n v="0"/>
    <n v="0"/>
    <n v="0"/>
    <n v="0"/>
    <n v="0"/>
    <n v="0"/>
    <n v="0"/>
    <n v="0"/>
    <n v="0"/>
    <n v="0"/>
    <n v="0"/>
    <n v="0"/>
    <n v="0"/>
    <n v="0"/>
    <n v="0"/>
    <n v="0"/>
  </r>
  <r>
    <s v="Carbon Dioxide Consumption"/>
    <x v="2"/>
    <x v="5"/>
    <n v="0"/>
    <n v="0"/>
    <n v="0"/>
    <n v="0"/>
    <n v="0"/>
    <n v="0"/>
    <n v="0"/>
    <n v="0"/>
    <n v="0"/>
    <n v="0"/>
    <n v="0"/>
    <n v="0"/>
    <n v="0"/>
    <n v="0"/>
    <n v="0"/>
    <n v="0"/>
    <n v="0"/>
    <n v="0"/>
    <n v="0"/>
    <n v="0"/>
    <n v="0"/>
    <n v="0"/>
    <n v="0"/>
    <n v="0"/>
    <n v="0"/>
    <n v="0"/>
    <n v="0"/>
    <n v="0"/>
    <n v="0"/>
    <n v="0"/>
    <n v="0"/>
    <n v="0"/>
    <n v="0"/>
    <n v="0"/>
    <n v="0"/>
    <n v="0"/>
    <n v="0"/>
    <n v="0"/>
    <n v="0"/>
    <n v="0"/>
    <n v="0"/>
    <n v="0"/>
    <n v="0"/>
    <n v="0"/>
    <n v="0"/>
  </r>
  <r>
    <s v="Titanium Dioxide Production"/>
    <x v="2"/>
    <x v="5"/>
    <n v="0"/>
    <n v="0"/>
    <n v="0"/>
    <n v="0"/>
    <n v="0"/>
    <n v="0"/>
    <n v="0"/>
    <n v="0"/>
    <n v="0"/>
    <n v="0"/>
    <n v="0"/>
    <n v="0"/>
    <n v="0"/>
    <n v="0"/>
    <n v="0"/>
    <n v="0"/>
    <n v="0"/>
    <n v="0"/>
    <n v="0"/>
    <n v="0"/>
    <n v="0"/>
    <n v="0"/>
    <n v="0"/>
    <n v="0"/>
    <n v="0"/>
    <n v="0"/>
    <n v="0"/>
    <n v="0"/>
    <n v="0"/>
    <n v="0"/>
    <n v="0"/>
    <n v="0"/>
    <n v="0"/>
    <n v="0"/>
    <n v="0"/>
    <n v="0"/>
    <n v="0"/>
    <n v="0"/>
    <n v="0"/>
    <n v="0"/>
    <n v="0"/>
    <n v="0"/>
    <n v="0"/>
    <n v="0"/>
    <n v="0"/>
  </r>
  <r>
    <s v="Zinc Production"/>
    <x v="2"/>
    <x v="5"/>
    <n v="0"/>
    <n v="0"/>
    <n v="0"/>
    <n v="0"/>
    <n v="0"/>
    <n v="0"/>
    <n v="0"/>
    <n v="0"/>
    <n v="0"/>
    <n v="0"/>
    <n v="0"/>
    <n v="0"/>
    <n v="0"/>
    <n v="0"/>
    <n v="0"/>
    <n v="0"/>
    <n v="0"/>
    <n v="0"/>
    <n v="0"/>
    <n v="0"/>
    <n v="0"/>
    <n v="0"/>
    <n v="0"/>
    <n v="0"/>
    <n v="0"/>
    <n v="0"/>
    <n v="0"/>
    <n v="0"/>
    <n v="0"/>
    <n v="0"/>
    <n v="0"/>
    <n v="0"/>
    <n v="0"/>
    <n v="0"/>
    <n v="0"/>
    <n v="0"/>
    <n v="0"/>
    <n v="0"/>
    <n v="0"/>
    <n v="0"/>
    <n v="0"/>
    <n v="0"/>
    <n v="0"/>
    <n v="0"/>
    <n v="0"/>
  </r>
  <r>
    <s v="Phosphoric Acid Production"/>
    <x v="1"/>
    <x v="5"/>
    <n v="0"/>
    <n v="0"/>
    <n v="0"/>
    <n v="0"/>
    <n v="0"/>
    <n v="0"/>
    <n v="0"/>
    <n v="0"/>
    <n v="0"/>
    <n v="0"/>
    <n v="0"/>
    <n v="0"/>
    <n v="0"/>
    <n v="0"/>
    <n v="0"/>
    <n v="0"/>
    <n v="0"/>
    <n v="0"/>
    <n v="0"/>
    <n v="0"/>
    <n v="0"/>
    <n v="0"/>
    <n v="0"/>
    <n v="0"/>
    <n v="0"/>
    <n v="0"/>
    <n v="0"/>
    <n v="0"/>
    <n v="0"/>
    <n v="0"/>
    <n v="0"/>
    <n v="0"/>
    <n v="0"/>
    <n v="0"/>
    <n v="0"/>
    <n v="0"/>
    <n v="0"/>
    <n v="0"/>
    <n v="0"/>
    <n v="0"/>
    <n v="0"/>
    <n v="0"/>
    <n v="0"/>
    <n v="0"/>
    <n v="0"/>
  </r>
  <r>
    <s v="Lead Production"/>
    <x v="2"/>
    <x v="5"/>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5"/>
    <n v="0"/>
    <n v="0"/>
    <n v="0"/>
    <n v="0"/>
    <n v="0"/>
    <n v="0"/>
    <n v="0"/>
    <n v="0"/>
    <n v="0"/>
    <n v="0"/>
    <n v="0"/>
    <n v="0"/>
    <n v="0"/>
    <n v="0"/>
    <n v="0"/>
    <n v="0"/>
    <n v="0"/>
    <n v="0"/>
    <n v="0"/>
    <n v="0"/>
    <n v="0"/>
    <n v="0"/>
    <n v="0"/>
    <n v="0"/>
    <n v="0"/>
    <n v="0"/>
    <n v="0"/>
    <n v="0"/>
    <n v="0"/>
    <n v="0"/>
    <n v="0"/>
    <n v="0"/>
    <n v="0"/>
    <n v="0"/>
    <n v="0"/>
    <n v="0"/>
    <n v="0"/>
    <n v="0"/>
    <n v="0"/>
    <n v="0"/>
    <n v="0"/>
    <n v="0"/>
    <n v="0"/>
    <n v="0"/>
    <n v="0"/>
  </r>
  <r>
    <s v="Wastewater Treatment (Industrial)"/>
    <x v="6"/>
    <x v="5"/>
    <n v="0"/>
    <n v="0"/>
    <n v="0"/>
    <n v="0"/>
    <n v="0"/>
    <n v="0"/>
    <n v="0"/>
    <n v="0"/>
    <n v="0"/>
    <n v="0"/>
    <n v="0"/>
    <n v="0"/>
    <n v="0"/>
    <n v="0"/>
    <n v="0"/>
    <n v="0"/>
    <n v="0"/>
    <n v="0"/>
    <n v="0"/>
    <n v="0"/>
    <n v="0"/>
    <n v="0"/>
    <n v="0"/>
    <n v="0"/>
    <n v="0"/>
    <n v="0"/>
    <n v="0"/>
    <n v="0"/>
    <n v="0"/>
    <n v="0"/>
    <n v="0"/>
    <n v="0"/>
    <n v="0"/>
    <n v="0"/>
    <n v="0"/>
    <n v="0"/>
    <n v="0"/>
    <n v="0"/>
    <n v="0"/>
    <n v="0"/>
    <n v="0"/>
    <n v="0"/>
    <n v="0"/>
    <n v="0"/>
    <n v="0"/>
  </r>
  <r>
    <s v="Composting"/>
    <x v="6"/>
    <x v="5"/>
    <n v="0"/>
    <n v="0"/>
    <n v="0"/>
    <n v="0"/>
    <n v="0"/>
    <n v="0"/>
    <n v="0"/>
    <n v="0"/>
    <n v="0"/>
    <n v="0"/>
    <n v="0"/>
    <n v="0"/>
    <n v="0"/>
    <n v="0"/>
    <n v="0"/>
    <n v="0"/>
    <n v="0"/>
    <n v="0"/>
    <n v="0"/>
    <n v="0"/>
    <n v="0"/>
    <n v="0"/>
    <n v="0"/>
    <n v="0"/>
    <n v="0"/>
    <n v="0"/>
    <n v="0"/>
    <n v="0"/>
    <n v="0"/>
    <n v="0"/>
    <n v="0"/>
    <n v="0"/>
    <n v="0"/>
    <n v="0"/>
    <n v="0"/>
    <n v="0"/>
    <n v="0"/>
    <n v="0"/>
    <n v="0"/>
    <n v="0"/>
    <n v="0"/>
    <n v="0"/>
    <n v="0"/>
    <n v="0"/>
    <n v="0"/>
  </r>
  <r>
    <s v="N₂O from Product Uses"/>
    <x v="2"/>
    <x v="5"/>
    <n v="0"/>
    <n v="0"/>
    <n v="0"/>
    <n v="0"/>
    <n v="0"/>
    <n v="0"/>
    <n v="0"/>
    <n v="0"/>
    <n v="0"/>
    <n v="0"/>
    <n v="0"/>
    <n v="0"/>
    <n v="0"/>
    <n v="0"/>
    <n v="0"/>
    <n v="0"/>
    <n v="0"/>
    <n v="0"/>
    <n v="0"/>
    <n v="0"/>
    <n v="0"/>
    <n v="0"/>
    <n v="0"/>
    <n v="0"/>
    <n v="0"/>
    <n v="0"/>
    <n v="0"/>
    <n v="0"/>
    <n v="0"/>
    <n v="0"/>
    <n v="0"/>
    <n v="0"/>
    <n v="0"/>
    <n v="0"/>
    <n v="0"/>
    <n v="0"/>
    <n v="0"/>
    <n v="0"/>
    <n v="0"/>
    <n v="0"/>
    <n v="0"/>
    <n v="0"/>
    <n v="0"/>
    <n v="0"/>
    <n v="0"/>
  </r>
  <r>
    <s v="Other Process Uses of Carbonates"/>
    <x v="3"/>
    <x v="5"/>
    <n v="0"/>
    <n v="0"/>
    <n v="0"/>
    <n v="0"/>
    <n v="0"/>
    <n v="0"/>
    <n v="0"/>
    <n v="0"/>
    <n v="0"/>
    <n v="0"/>
    <n v="0"/>
    <n v="0"/>
    <n v="0"/>
    <n v="0"/>
    <n v="0"/>
    <n v="0"/>
    <n v="0"/>
    <n v="0"/>
    <n v="0"/>
    <n v="0"/>
    <n v="0"/>
    <n v="0"/>
    <n v="0"/>
    <n v="0"/>
    <n v="0"/>
    <n v="0"/>
    <n v="0"/>
    <n v="0"/>
    <n v="0"/>
    <n v="0"/>
    <n v="0"/>
    <n v="0"/>
    <n v="0"/>
    <n v="0"/>
    <n v="0"/>
    <n v="0"/>
    <n v="0"/>
    <n v="0"/>
    <n v="0"/>
    <n v="0"/>
    <n v="0"/>
    <n v="0"/>
    <n v="0"/>
    <n v="0"/>
    <n v="0"/>
  </r>
  <r>
    <s v="Urea Fertilization"/>
    <x v="2"/>
    <x v="5"/>
    <n v="0"/>
    <n v="0"/>
    <n v="0"/>
    <n v="0"/>
    <n v="0"/>
    <n v="0"/>
    <n v="0"/>
    <n v="0"/>
    <n v="0"/>
    <n v="0"/>
    <n v="0"/>
    <n v="0"/>
    <n v="0"/>
    <n v="0"/>
    <n v="0"/>
    <n v="0"/>
    <n v="0"/>
    <n v="0"/>
    <n v="0"/>
    <n v="0"/>
    <n v="0"/>
    <n v="0"/>
    <n v="0"/>
    <n v="0"/>
    <n v="0"/>
    <n v="0"/>
    <n v="0"/>
    <n v="0"/>
    <n v="0"/>
    <n v="0"/>
    <n v="0"/>
    <n v="0"/>
    <n v="0"/>
    <n v="0"/>
    <n v="0"/>
    <n v="0"/>
    <n v="0"/>
    <n v="0"/>
    <n v="0"/>
    <n v="0"/>
    <n v="0"/>
    <n v="0"/>
    <n v="0"/>
    <n v="0"/>
    <n v="0"/>
  </r>
  <r>
    <s v="Incineration of Waste"/>
    <x v="7"/>
    <x v="5"/>
    <n v="0"/>
    <n v="0"/>
    <n v="0"/>
    <n v="0"/>
    <n v="0"/>
    <n v="0"/>
    <n v="0"/>
    <n v="0"/>
    <n v="0"/>
    <n v="0"/>
    <n v="0"/>
    <n v="0"/>
    <n v="0"/>
    <n v="0"/>
    <n v="0"/>
    <n v="0"/>
    <n v="0"/>
    <n v="0"/>
    <n v="0"/>
    <n v="0"/>
    <n v="0"/>
    <n v="0"/>
    <n v="0"/>
    <n v="0"/>
    <n v="0"/>
    <n v="0"/>
    <n v="0"/>
    <n v="0"/>
    <n v="0"/>
    <n v="0"/>
    <n v="0"/>
    <n v="0"/>
    <n v="0"/>
    <n v="0"/>
    <n v="0"/>
    <n v="0"/>
    <n v="0"/>
    <n v="0"/>
    <n v="0"/>
    <n v="0"/>
    <n v="0"/>
    <n v="0"/>
    <n v="0"/>
    <n v="0"/>
    <n v="0"/>
  </r>
  <r>
    <s v="Liming"/>
    <x v="2"/>
    <x v="5"/>
    <n v="0"/>
    <n v="0"/>
    <n v="0"/>
    <n v="0"/>
    <n v="0"/>
    <n v="0"/>
    <n v="0"/>
    <n v="0"/>
    <n v="0"/>
    <n v="0"/>
    <n v="0"/>
    <n v="0"/>
    <n v="0"/>
    <n v="0"/>
    <n v="0"/>
    <n v="0"/>
    <n v="0"/>
    <n v="0"/>
    <n v="0"/>
    <n v="0"/>
    <n v="0"/>
    <n v="0"/>
    <n v="0"/>
    <n v="0"/>
    <n v="0"/>
    <n v="0"/>
    <n v="0"/>
    <n v="0"/>
    <n v="0"/>
    <n v="0"/>
    <n v="0"/>
    <n v="0"/>
    <n v="0"/>
    <n v="0"/>
    <n v="0"/>
    <n v="0"/>
    <n v="0"/>
    <n v="0"/>
    <n v="0"/>
    <n v="0"/>
    <n v="0"/>
    <n v="0"/>
    <n v="0"/>
    <n v="0"/>
    <n v="0"/>
  </r>
  <r>
    <s v="Abandoned Underground Coal Mines"/>
    <x v="0"/>
    <x v="6"/>
    <n v="0"/>
    <n v="0"/>
    <n v="0"/>
    <n v="0"/>
    <n v="0"/>
    <n v="0"/>
    <n v="0"/>
    <n v="0"/>
    <n v="0"/>
    <n v="0"/>
    <n v="0"/>
    <n v="0"/>
    <n v="0"/>
    <n v="0"/>
    <n v="0"/>
    <n v="0"/>
    <n v="0"/>
    <n v="0"/>
    <n v="0"/>
    <n v="0"/>
    <n v="0"/>
    <n v="0"/>
    <n v="0"/>
    <n v="0"/>
    <n v="0"/>
    <n v="0"/>
    <n v="0"/>
    <n v="0"/>
    <n v="0"/>
    <n v="0"/>
    <n v="0"/>
    <n v="0"/>
    <n v="0"/>
    <n v="0"/>
    <n v="0"/>
    <n v="0"/>
    <n v="0"/>
    <n v="0"/>
    <n v="0"/>
    <n v="0"/>
    <n v="0"/>
    <n v="0"/>
    <n v="0"/>
    <n v="0"/>
    <n v="0"/>
  </r>
  <r>
    <s v="Nitric Acid Production"/>
    <x v="1"/>
    <x v="6"/>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6"/>
    <n v="0"/>
    <n v="0"/>
    <n v="0"/>
    <n v="0"/>
    <n v="0"/>
    <n v="0"/>
    <n v="0"/>
    <n v="0"/>
    <n v="0"/>
    <n v="0"/>
    <n v="0"/>
    <n v="0"/>
    <n v="0"/>
    <n v="0"/>
    <n v="0"/>
    <n v="0"/>
    <n v="0"/>
    <n v="0"/>
    <n v="0"/>
    <n v="0"/>
    <n v="0"/>
    <n v="0"/>
    <n v="0"/>
    <n v="0"/>
    <n v="0"/>
    <n v="0"/>
    <n v="0"/>
    <n v="0"/>
    <n v="0"/>
    <n v="0"/>
    <n v="0"/>
    <n v="0"/>
    <n v="0"/>
    <n v="0"/>
    <n v="0"/>
    <n v="0"/>
    <n v="0"/>
    <n v="0"/>
    <n v="0"/>
    <n v="0"/>
    <n v="0"/>
    <n v="0"/>
    <n v="0"/>
    <n v="0"/>
    <n v="0"/>
  </r>
  <r>
    <s v="Ferroalloy Production"/>
    <x v="2"/>
    <x v="6"/>
    <n v="0"/>
    <n v="0"/>
    <n v="0"/>
    <n v="0"/>
    <n v="0"/>
    <n v="0"/>
    <n v="0"/>
    <n v="0"/>
    <n v="0"/>
    <n v="0"/>
    <n v="0"/>
    <n v="0"/>
    <n v="0"/>
    <n v="0"/>
    <n v="0"/>
    <n v="0"/>
    <n v="0"/>
    <n v="0"/>
    <n v="0"/>
    <n v="0"/>
    <n v="0"/>
    <n v="0"/>
    <n v="0"/>
    <n v="0"/>
    <n v="0"/>
    <n v="0"/>
    <n v="0"/>
    <n v="0"/>
    <n v="0"/>
    <n v="0"/>
    <n v="0"/>
    <n v="0"/>
    <n v="0"/>
    <n v="0"/>
    <n v="0"/>
    <n v="0"/>
    <n v="0"/>
    <n v="0"/>
    <n v="0"/>
    <n v="0"/>
    <n v="0"/>
    <n v="0"/>
    <n v="0"/>
    <n v="0"/>
    <n v="0"/>
  </r>
  <r>
    <s v="Lime Production"/>
    <x v="3"/>
    <x v="6"/>
    <n v="0"/>
    <n v="0"/>
    <n v="0"/>
    <n v="0"/>
    <n v="0"/>
    <n v="0"/>
    <n v="0"/>
    <n v="0"/>
    <n v="0"/>
    <n v="0"/>
    <n v="0"/>
    <n v="0"/>
    <n v="0"/>
    <n v="0"/>
    <n v="0"/>
    <n v="0"/>
    <n v="0"/>
    <n v="0"/>
    <n v="0"/>
    <n v="0"/>
    <n v="0"/>
    <n v="0"/>
    <n v="0"/>
    <n v="0"/>
    <n v="0"/>
    <n v="0"/>
    <n v="0"/>
    <n v="0"/>
    <n v="0"/>
    <n v="0"/>
    <n v="0"/>
    <n v="0"/>
    <n v="0"/>
    <n v="0"/>
    <n v="0"/>
    <n v="0"/>
    <n v="0"/>
    <n v="0"/>
    <n v="0"/>
    <n v="0"/>
    <n v="0"/>
    <n v="0"/>
    <n v="0"/>
    <n v="0"/>
    <n v="0"/>
  </r>
  <r>
    <s v="Limestone and Dolomite Use"/>
    <x v="3"/>
    <x v="6"/>
    <n v="0"/>
    <n v="0"/>
    <n v="0"/>
    <n v="0"/>
    <n v="0"/>
    <n v="0"/>
    <n v="0"/>
    <n v="0"/>
    <n v="0"/>
    <n v="0"/>
    <n v="0"/>
    <n v="0"/>
    <n v="0"/>
    <n v="0"/>
    <n v="0"/>
    <n v="0"/>
    <n v="0"/>
    <n v="0"/>
    <n v="0"/>
    <n v="0"/>
    <n v="0"/>
    <n v="0"/>
    <n v="0"/>
    <n v="0"/>
    <n v="0"/>
    <n v="0"/>
    <n v="0"/>
    <n v="0"/>
    <n v="0"/>
    <n v="0"/>
    <n v="0"/>
    <n v="0"/>
    <n v="0"/>
    <n v="0"/>
    <n v="0"/>
    <n v="0"/>
    <n v="0"/>
    <n v="0"/>
    <n v="0"/>
    <n v="0"/>
    <n v="0"/>
    <n v="0"/>
    <n v="0"/>
    <n v="0"/>
    <n v="0"/>
  </r>
  <r>
    <s v="Ammonia Production"/>
    <x v="1"/>
    <x v="6"/>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6"/>
    <n v="0"/>
    <n v="0"/>
    <n v="0"/>
    <n v="0"/>
    <n v="0"/>
    <n v="0"/>
    <n v="0"/>
    <n v="0"/>
    <n v="0"/>
    <n v="0"/>
    <n v="0"/>
    <n v="0"/>
    <n v="0"/>
    <n v="0"/>
    <n v="0"/>
    <n v="0"/>
    <n v="0"/>
    <n v="0"/>
    <n v="0"/>
    <n v="0"/>
    <n v="0"/>
    <n v="0"/>
    <n v="0"/>
    <n v="0"/>
    <n v="0"/>
    <n v="0"/>
    <n v="0"/>
    <n v="0"/>
    <n v="0"/>
    <n v="0"/>
    <n v="0"/>
    <n v="0"/>
    <n v="0"/>
    <n v="0"/>
    <n v="0"/>
    <n v="0"/>
    <n v="0"/>
    <n v="0"/>
    <n v="0"/>
    <n v="0"/>
    <n v="0"/>
    <n v="0"/>
    <n v="0"/>
    <n v="0"/>
    <n v="0"/>
  </r>
  <r>
    <s v="Soda Ash Production and Consumption"/>
    <x v="1"/>
    <x v="6"/>
    <n v="0"/>
    <n v="0"/>
    <n v="0"/>
    <n v="0"/>
    <n v="0"/>
    <n v="0"/>
    <n v="0"/>
    <n v="0"/>
    <n v="0"/>
    <n v="0"/>
    <n v="0"/>
    <n v="0"/>
    <n v="0"/>
    <n v="0"/>
    <n v="0"/>
    <n v="0"/>
    <n v="0"/>
    <n v="0"/>
    <n v="0"/>
    <n v="0"/>
    <n v="0"/>
    <n v="0"/>
    <n v="0"/>
    <n v="0"/>
    <n v="0"/>
    <n v="0"/>
    <n v="0"/>
    <n v="0"/>
    <n v="0"/>
    <n v="0"/>
    <n v="0"/>
    <n v="0"/>
    <n v="0"/>
    <n v="0"/>
    <n v="0"/>
    <n v="0"/>
    <n v="0"/>
    <n v="0"/>
    <n v="0"/>
    <n v="0"/>
    <n v="0"/>
    <n v="0"/>
    <n v="0"/>
    <n v="0"/>
    <n v="0"/>
  </r>
  <r>
    <s v="Petrochemical Production"/>
    <x v="4"/>
    <x v="6"/>
    <n v="0"/>
    <n v="0"/>
    <n v="0"/>
    <n v="0"/>
    <n v="0"/>
    <n v="0"/>
    <n v="0"/>
    <n v="0"/>
    <n v="0"/>
    <n v="0"/>
    <n v="0"/>
    <n v="0"/>
    <n v="0"/>
    <n v="0"/>
    <n v="0"/>
    <n v="0"/>
    <n v="0"/>
    <n v="0"/>
    <n v="0"/>
    <n v="0"/>
    <n v="0"/>
    <n v="0"/>
    <n v="0"/>
    <n v="0"/>
    <n v="0"/>
    <n v="0"/>
    <n v="0"/>
    <n v="0"/>
    <n v="0"/>
    <n v="0"/>
    <n v="0"/>
    <n v="0"/>
    <n v="0"/>
    <n v="0"/>
    <n v="0"/>
    <n v="0"/>
    <n v="0"/>
    <n v="0"/>
    <n v="0"/>
    <n v="0"/>
    <n v="0"/>
    <n v="0"/>
    <n v="0"/>
    <n v="0"/>
    <n v="0"/>
  </r>
  <r>
    <s v="Carbon Dioxide Consumption"/>
    <x v="2"/>
    <x v="6"/>
    <n v="0"/>
    <n v="0"/>
    <n v="0"/>
    <n v="0"/>
    <n v="0"/>
    <n v="0"/>
    <n v="0"/>
    <n v="0"/>
    <n v="0"/>
    <n v="0"/>
    <n v="0"/>
    <n v="0"/>
    <n v="0"/>
    <n v="0"/>
    <n v="0"/>
    <n v="0"/>
    <n v="0"/>
    <n v="0"/>
    <n v="0"/>
    <n v="0"/>
    <n v="0"/>
    <n v="0"/>
    <n v="0"/>
    <n v="0"/>
    <n v="0"/>
    <n v="0"/>
    <n v="0"/>
    <n v="0"/>
    <n v="0"/>
    <n v="0"/>
    <n v="0"/>
    <n v="0"/>
    <n v="0"/>
    <n v="0"/>
    <n v="0"/>
    <n v="0"/>
    <n v="0"/>
    <n v="0"/>
    <n v="0"/>
    <n v="0"/>
    <n v="0"/>
    <n v="0"/>
    <n v="0"/>
    <n v="0"/>
    <n v="0"/>
  </r>
  <r>
    <s v="Titanium Dioxide Production"/>
    <x v="2"/>
    <x v="6"/>
    <n v="0"/>
    <n v="0"/>
    <n v="0"/>
    <n v="0"/>
    <n v="0"/>
    <n v="0"/>
    <n v="0"/>
    <n v="0"/>
    <n v="0"/>
    <n v="0"/>
    <n v="0"/>
    <n v="0"/>
    <n v="0"/>
    <n v="0"/>
    <n v="0"/>
    <n v="0"/>
    <n v="0"/>
    <n v="0"/>
    <n v="0"/>
    <n v="0"/>
    <n v="0"/>
    <n v="0"/>
    <n v="0"/>
    <n v="0"/>
    <n v="0"/>
    <n v="0"/>
    <n v="0"/>
    <n v="0"/>
    <n v="0"/>
    <n v="0"/>
    <n v="0"/>
    <n v="0"/>
    <n v="0"/>
    <n v="0"/>
    <n v="0"/>
    <n v="0"/>
    <n v="0"/>
    <n v="0"/>
    <n v="0"/>
    <n v="0"/>
    <n v="0"/>
    <n v="0"/>
    <n v="0"/>
    <n v="0"/>
    <n v="0"/>
  </r>
  <r>
    <s v="Zinc Production"/>
    <x v="2"/>
    <x v="6"/>
    <n v="0"/>
    <n v="0"/>
    <n v="0"/>
    <n v="0"/>
    <n v="0"/>
    <n v="0"/>
    <n v="0"/>
    <n v="0"/>
    <n v="0"/>
    <n v="0"/>
    <n v="0"/>
    <n v="0"/>
    <n v="0"/>
    <n v="0"/>
    <n v="0"/>
    <n v="0"/>
    <n v="0"/>
    <n v="0"/>
    <n v="0"/>
    <n v="0"/>
    <n v="0"/>
    <n v="0"/>
    <n v="0"/>
    <n v="0"/>
    <n v="0"/>
    <n v="0"/>
    <n v="0"/>
    <n v="0"/>
    <n v="0"/>
    <n v="0"/>
    <n v="0"/>
    <n v="0"/>
    <n v="0"/>
    <n v="0"/>
    <n v="0"/>
    <n v="0"/>
    <n v="0"/>
    <n v="0"/>
    <n v="0"/>
    <n v="0"/>
    <n v="0"/>
    <n v="0"/>
    <n v="0"/>
    <n v="0"/>
    <n v="0"/>
  </r>
  <r>
    <s v="Phosphoric Acid Production"/>
    <x v="1"/>
    <x v="6"/>
    <n v="0"/>
    <n v="0"/>
    <n v="0"/>
    <n v="0"/>
    <n v="0"/>
    <n v="0"/>
    <n v="0"/>
    <n v="0"/>
    <n v="0"/>
    <n v="0"/>
    <n v="0"/>
    <n v="0"/>
    <n v="0"/>
    <n v="0"/>
    <n v="0"/>
    <n v="0"/>
    <n v="0"/>
    <n v="0"/>
    <n v="0"/>
    <n v="0"/>
    <n v="0"/>
    <n v="0"/>
    <n v="0"/>
    <n v="0"/>
    <n v="0"/>
    <n v="0"/>
    <n v="0"/>
    <n v="0"/>
    <n v="0"/>
    <n v="0"/>
    <n v="0"/>
    <n v="0"/>
    <n v="0"/>
    <n v="0"/>
    <n v="0"/>
    <n v="0"/>
    <n v="0"/>
    <n v="0"/>
    <n v="0"/>
    <n v="0"/>
    <n v="0"/>
    <n v="0"/>
    <n v="0"/>
    <n v="0"/>
    <n v="0"/>
  </r>
  <r>
    <s v="Lead Production"/>
    <x v="2"/>
    <x v="6"/>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6"/>
    <n v="0"/>
    <n v="0"/>
    <n v="0"/>
    <n v="0"/>
    <n v="0"/>
    <n v="0"/>
    <n v="0"/>
    <n v="0"/>
    <n v="0"/>
    <n v="0"/>
    <n v="0"/>
    <n v="0"/>
    <n v="0"/>
    <n v="0"/>
    <n v="0"/>
    <n v="0"/>
    <n v="0"/>
    <n v="0"/>
    <n v="0"/>
    <n v="0"/>
    <n v="0"/>
    <n v="0"/>
    <n v="0"/>
    <n v="0"/>
    <n v="0"/>
    <n v="0"/>
    <n v="0"/>
    <n v="0"/>
    <n v="0"/>
    <n v="0"/>
    <n v="0"/>
    <n v="0"/>
    <n v="0"/>
    <n v="0"/>
    <n v="0"/>
    <n v="0"/>
    <n v="0"/>
    <n v="0"/>
    <n v="0"/>
    <n v="0"/>
    <n v="0"/>
    <n v="0"/>
    <n v="0"/>
    <n v="0"/>
    <n v="0"/>
  </r>
  <r>
    <s v="Wastewater Treatment (Industrial)"/>
    <x v="6"/>
    <x v="6"/>
    <n v="0"/>
    <n v="0"/>
    <n v="0"/>
    <n v="0"/>
    <n v="0"/>
    <n v="0"/>
    <n v="0"/>
    <n v="0"/>
    <n v="0"/>
    <n v="0"/>
    <n v="0"/>
    <n v="0"/>
    <n v="0"/>
    <n v="0"/>
    <n v="0"/>
    <n v="0"/>
    <n v="0"/>
    <n v="0"/>
    <n v="0"/>
    <n v="0"/>
    <n v="0"/>
    <n v="0"/>
    <n v="0"/>
    <n v="0"/>
    <n v="0"/>
    <n v="0"/>
    <n v="0"/>
    <n v="0"/>
    <n v="0"/>
    <n v="0"/>
    <n v="0"/>
    <n v="0"/>
    <n v="0"/>
    <n v="0"/>
    <n v="0"/>
    <n v="0"/>
    <n v="0"/>
    <n v="0"/>
    <n v="0"/>
    <n v="0"/>
    <n v="0"/>
    <n v="0"/>
    <n v="0"/>
    <n v="0"/>
    <n v="0"/>
  </r>
  <r>
    <s v="Composting"/>
    <x v="6"/>
    <x v="6"/>
    <n v="0"/>
    <n v="0"/>
    <n v="0"/>
    <n v="0"/>
    <n v="0"/>
    <n v="0"/>
    <n v="0"/>
    <n v="0"/>
    <n v="0"/>
    <n v="0"/>
    <n v="0"/>
    <n v="0"/>
    <n v="0"/>
    <n v="0"/>
    <n v="0"/>
    <n v="0"/>
    <n v="0"/>
    <n v="0"/>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24:AL536" firstHeaderRow="0" firstDataRow="1" firstDataCol="2"/>
  <pivotFields count="4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3"/>
        <item x="1"/>
        <item x="0"/>
        <item x="4"/>
        <item x="2"/>
        <item x="6"/>
        <item h="1" x="7"/>
      </items>
      <extLst>
        <ext xmlns:x14="http://schemas.microsoft.com/office/spreadsheetml/2009/9/main" uri="{2946ED86-A175-432a-8AC1-64E0C546D7DE}">
          <x14:pivotField fillDownLabels="1"/>
        </ext>
      </extLst>
    </pivotField>
    <pivotField axis="axisRow" compact="0" outline="0" showAll="0" measureFilter="1" defaultSubtotal="0">
      <items count="8">
        <item x="1"/>
        <item x="0"/>
        <item x="3"/>
        <item x="2"/>
        <item x="6"/>
        <item x="4"/>
        <item x="5"/>
        <item m="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2">
    <i>
      <x/>
      <x/>
    </i>
    <i>
      <x v="1"/>
      <x v="1"/>
    </i>
    <i>
      <x v="2"/>
      <x v="1"/>
    </i>
    <i r="1">
      <x v="3"/>
    </i>
    <i>
      <x v="3"/>
      <x/>
    </i>
    <i>
      <x v="4"/>
      <x/>
    </i>
    <i r="1">
      <x v="1"/>
    </i>
    <i>
      <x v="5"/>
      <x/>
    </i>
    <i r="1">
      <x v="1"/>
    </i>
    <i r="1">
      <x v="3"/>
    </i>
    <i>
      <x v="6"/>
      <x/>
    </i>
    <i r="1">
      <x v="3"/>
    </i>
  </rowItems>
  <colFields count="1">
    <field x="-2"/>
  </colFields>
  <colItems count="3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colItems>
  <dataFields count="36">
    <dataField name="Sum of 2015" fld="12" baseField="1" baseItem="0"/>
    <dataField name="Sum of 2016" fld="13" baseField="0" baseItem="0"/>
    <dataField name="Sum of 2017" fld="14" baseField="0" baseItem="0"/>
    <dataField name="Sum of 2018" fld="15" baseField="0" baseItem="0"/>
    <dataField name="Sum of 2019" fld="16" baseField="0" baseItem="0"/>
    <dataField name="Sum of 2020" fld="17" baseField="0" baseItem="0"/>
    <dataField name="Sum of 2021" fld="18" baseField="0" baseItem="0"/>
    <dataField name="Sum of 2022" fld="19" baseField="0" baseItem="0"/>
    <dataField name="Sum of 2023" fld="20" baseField="0" baseItem="0"/>
    <dataField name="Sum of 2024" fld="21" baseField="0" baseItem="0"/>
    <dataField name="Sum of 2025" fld="22" baseField="0" baseItem="0"/>
    <dataField name="Sum of 2026" fld="23" baseField="0" baseItem="0"/>
    <dataField name="Sum of 2027" fld="24" baseField="0" baseItem="0"/>
    <dataField name="Sum of 2028" fld="25" baseField="0" baseItem="0"/>
    <dataField name="Sum of 2029" fld="26" baseField="0" baseItem="0"/>
    <dataField name="Sum of 2030" fld="27" baseField="0" baseItem="0"/>
    <dataField name="Sum of 2031" fld="28" baseField="0" baseItem="0"/>
    <dataField name="Sum of 2032" fld="29" baseField="0" baseItem="0"/>
    <dataField name="Sum of 2033" fld="30" baseField="0" baseItem="0"/>
    <dataField name="Sum of 2034" fld="31" baseField="0" baseItem="0"/>
    <dataField name="Sum of 2035" fld="32" baseField="0" baseItem="0"/>
    <dataField name="Sum of 2036" fld="33" baseField="0" baseItem="0"/>
    <dataField name="Sum of 2037" fld="34" baseField="0" baseItem="0"/>
    <dataField name="Sum of 2038" fld="35" baseField="0" baseItem="0"/>
    <dataField name="Sum of 2039" fld="36" baseField="0" baseItem="0"/>
    <dataField name="Sum of 2040" fld="37" baseField="0" baseItem="0"/>
    <dataField name="Sum of 2041" fld="38" baseField="0" baseItem="0"/>
    <dataField name="Sum of 2042" fld="39" baseField="0" baseItem="0"/>
    <dataField name="Sum of 2043" fld="40" baseField="0" baseItem="0"/>
    <dataField name="Sum of 2044" fld="41" baseField="0" baseItem="0"/>
    <dataField name="Sum of 2045" fld="42" baseField="0" baseItem="0"/>
    <dataField name="Sum of 2046" fld="43" baseField="0" baseItem="0"/>
    <dataField name="Sum of 2047" fld="44" baseField="0" baseItem="0"/>
    <dataField name="Sum of 2048" fld="45" baseField="0" baseItem="0"/>
    <dataField name="Sum of 2049" fld="46" baseField="0" baseItem="0"/>
    <dataField name="Sum of 2050" fld="47" baseField="0" baseItem="0"/>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filters count="1">
    <filter fld="2"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13.xlsx" TargetMode="External"/><Relationship Id="rId1" Type="http://schemas.openxmlformats.org/officeDocument/2006/relationships/hyperlink" Target="https://www.eia.gov/outlooks/aeo/excel/nocpp/aeotab_67.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hyperlink" Target="https://energy.gov/sites/prod/files/2015/07/f24/ElectricityAppendix.pdf"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hyperlink" Target="https://www.usda.gov/oce/commodity/projections/USDA_Agricultural_Projections_to_2026.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99"/>
  <sheetViews>
    <sheetView topLeftCell="A57" zoomScale="55" zoomScaleNormal="55" workbookViewId="0">
      <selection activeCell="B67" sqref="B67"/>
    </sheetView>
  </sheetViews>
  <sheetFormatPr defaultRowHeight="15" x14ac:dyDescent="0.25"/>
  <cols>
    <col min="1" max="1" width="9.85546875" customWidth="1"/>
    <col min="2" max="2" width="80.140625"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8" x14ac:dyDescent="0.25">
      <c r="A1" s="54" t="s">
        <v>273</v>
      </c>
      <c r="B1" s="73" t="s">
        <v>294</v>
      </c>
      <c r="D1" s="73" t="s">
        <v>292</v>
      </c>
      <c r="F1" s="73" t="s">
        <v>1412</v>
      </c>
      <c r="H1" s="73" t="s">
        <v>284</v>
      </c>
    </row>
    <row r="2" spans="1:8" x14ac:dyDescent="0.25">
      <c r="B2" s="55" t="s">
        <v>892</v>
      </c>
      <c r="D2" s="55" t="s">
        <v>1092</v>
      </c>
      <c r="F2" s="55" t="s">
        <v>1413</v>
      </c>
      <c r="H2" s="55" t="s">
        <v>1640</v>
      </c>
    </row>
    <row r="3" spans="1:8" x14ac:dyDescent="0.25">
      <c r="B3" t="s">
        <v>893</v>
      </c>
      <c r="D3" t="s">
        <v>899</v>
      </c>
      <c r="F3" t="s">
        <v>899</v>
      </c>
      <c r="H3" t="s">
        <v>899</v>
      </c>
    </row>
    <row r="4" spans="1:8" x14ac:dyDescent="0.25">
      <c r="B4" s="97">
        <v>2017</v>
      </c>
      <c r="D4" s="97">
        <v>2017</v>
      </c>
      <c r="F4" s="97">
        <v>2017</v>
      </c>
      <c r="H4" s="97">
        <v>2002</v>
      </c>
    </row>
    <row r="5" spans="1:8" x14ac:dyDescent="0.25">
      <c r="B5" t="s">
        <v>894</v>
      </c>
      <c r="D5" t="s">
        <v>1607</v>
      </c>
      <c r="F5" t="s">
        <v>1414</v>
      </c>
      <c r="H5" t="s">
        <v>1641</v>
      </c>
    </row>
    <row r="6" spans="1:8" ht="30" x14ac:dyDescent="0.25">
      <c r="B6" s="139" t="s">
        <v>896</v>
      </c>
      <c r="D6" s="139" t="s">
        <v>1608</v>
      </c>
      <c r="F6" s="139" t="s">
        <v>1415</v>
      </c>
      <c r="H6" t="s">
        <v>1620</v>
      </c>
    </row>
    <row r="7" spans="1:8" x14ac:dyDescent="0.25">
      <c r="B7" t="s">
        <v>1088</v>
      </c>
      <c r="D7" s="139" t="s">
        <v>1096</v>
      </c>
      <c r="F7" s="139" t="s">
        <v>1416</v>
      </c>
      <c r="H7" t="s">
        <v>1642</v>
      </c>
    </row>
    <row r="9" spans="1:8" x14ac:dyDescent="0.25">
      <c r="B9" s="55" t="s">
        <v>559</v>
      </c>
      <c r="D9" s="55" t="s">
        <v>1097</v>
      </c>
      <c r="H9" s="55" t="s">
        <v>1643</v>
      </c>
    </row>
    <row r="10" spans="1:8" x14ac:dyDescent="0.25">
      <c r="B10" t="s">
        <v>899</v>
      </c>
      <c r="D10" t="s">
        <v>1080</v>
      </c>
      <c r="F10" s="55" t="s">
        <v>1417</v>
      </c>
      <c r="H10" t="s">
        <v>1644</v>
      </c>
    </row>
    <row r="11" spans="1:8" x14ac:dyDescent="0.25">
      <c r="B11" s="97">
        <v>2013</v>
      </c>
      <c r="D11" s="97">
        <v>2017</v>
      </c>
      <c r="F11" t="s">
        <v>901</v>
      </c>
      <c r="H11" s="97">
        <v>2015</v>
      </c>
    </row>
    <row r="12" spans="1:8" ht="30" x14ac:dyDescent="0.25">
      <c r="B12" s="139" t="s">
        <v>903</v>
      </c>
      <c r="D12" t="s">
        <v>1081</v>
      </c>
      <c r="F12" s="97">
        <v>2018</v>
      </c>
      <c r="H12" t="s">
        <v>1645</v>
      </c>
    </row>
    <row r="13" spans="1:8" ht="45" x14ac:dyDescent="0.25">
      <c r="B13" s="139" t="s">
        <v>5</v>
      </c>
      <c r="D13" t="s">
        <v>1855</v>
      </c>
      <c r="F13" t="s">
        <v>1744</v>
      </c>
      <c r="H13" t="s">
        <v>1614</v>
      </c>
    </row>
    <row r="14" spans="1:8" x14ac:dyDescent="0.25">
      <c r="B14" t="s">
        <v>904</v>
      </c>
      <c r="D14" s="355" t="s">
        <v>1856</v>
      </c>
      <c r="F14" s="355" t="s">
        <v>1963</v>
      </c>
      <c r="H14" t="s">
        <v>1646</v>
      </c>
    </row>
    <row r="15" spans="1:8" x14ac:dyDescent="0.25">
      <c r="F15" s="139" t="s">
        <v>1961</v>
      </c>
    </row>
    <row r="16" spans="1:8" x14ac:dyDescent="0.25">
      <c r="B16" s="73" t="s">
        <v>1426</v>
      </c>
      <c r="D16" s="73" t="s">
        <v>898</v>
      </c>
    </row>
    <row r="17" spans="2:8" x14ac:dyDescent="0.25">
      <c r="B17" s="55" t="s">
        <v>1427</v>
      </c>
      <c r="D17" s="55" t="s">
        <v>1413</v>
      </c>
      <c r="F17" s="55" t="s">
        <v>1418</v>
      </c>
      <c r="H17" s="55" t="s">
        <v>1647</v>
      </c>
    </row>
    <row r="18" spans="2:8" x14ac:dyDescent="0.25">
      <c r="B18" t="s">
        <v>901</v>
      </c>
      <c r="D18" t="s">
        <v>899</v>
      </c>
      <c r="F18" t="s">
        <v>901</v>
      </c>
      <c r="H18" t="s">
        <v>899</v>
      </c>
    </row>
    <row r="19" spans="2:8" x14ac:dyDescent="0.25">
      <c r="B19" s="97">
        <v>2018</v>
      </c>
      <c r="D19" s="97">
        <v>2018</v>
      </c>
      <c r="F19" s="97">
        <v>2018</v>
      </c>
      <c r="H19" s="97">
        <v>2017</v>
      </c>
    </row>
    <row r="20" spans="2:8" x14ac:dyDescent="0.25">
      <c r="B20" t="s">
        <v>1428</v>
      </c>
      <c r="D20" t="s">
        <v>1958</v>
      </c>
      <c r="F20" t="s">
        <v>1744</v>
      </c>
      <c r="H20" t="s">
        <v>900</v>
      </c>
    </row>
    <row r="21" spans="2:8" x14ac:dyDescent="0.25">
      <c r="B21" t="s">
        <v>301</v>
      </c>
      <c r="D21" s="139" t="s">
        <v>1959</v>
      </c>
      <c r="F21" s="139" t="s">
        <v>1419</v>
      </c>
      <c r="H21" s="139" t="s">
        <v>300</v>
      </c>
    </row>
    <row r="22" spans="2:8" ht="60" x14ac:dyDescent="0.25">
      <c r="D22" s="139" t="s">
        <v>1690</v>
      </c>
      <c r="F22" s="139" t="s">
        <v>1962</v>
      </c>
      <c r="H22" s="139" t="s">
        <v>1648</v>
      </c>
    </row>
    <row r="24" spans="2:8" x14ac:dyDescent="0.25">
      <c r="B24" s="55" t="s">
        <v>1429</v>
      </c>
      <c r="D24" s="55" t="s">
        <v>897</v>
      </c>
    </row>
    <row r="25" spans="2:8" x14ac:dyDescent="0.25">
      <c r="B25" t="s">
        <v>901</v>
      </c>
      <c r="D25" t="s">
        <v>901</v>
      </c>
      <c r="F25" s="73" t="s">
        <v>1687</v>
      </c>
      <c r="H25" s="73" t="s">
        <v>1599</v>
      </c>
    </row>
    <row r="26" spans="2:8" x14ac:dyDescent="0.25">
      <c r="B26" s="97">
        <v>2018</v>
      </c>
      <c r="D26" s="97">
        <v>2018</v>
      </c>
      <c r="F26" s="55" t="s">
        <v>1685</v>
      </c>
      <c r="H26" s="55" t="s">
        <v>323</v>
      </c>
    </row>
    <row r="27" spans="2:8" x14ac:dyDescent="0.25">
      <c r="B27" t="s">
        <v>1430</v>
      </c>
      <c r="D27" t="s">
        <v>1744</v>
      </c>
      <c r="F27" t="s">
        <v>901</v>
      </c>
      <c r="H27" t="s">
        <v>899</v>
      </c>
    </row>
    <row r="28" spans="2:8" x14ac:dyDescent="0.25">
      <c r="B28" t="s">
        <v>311</v>
      </c>
      <c r="D28" t="s">
        <v>1960</v>
      </c>
      <c r="F28" s="97">
        <v>2018</v>
      </c>
      <c r="H28" s="97">
        <v>2016</v>
      </c>
    </row>
    <row r="29" spans="2:8" x14ac:dyDescent="0.25">
      <c r="D29" t="s">
        <v>902</v>
      </c>
      <c r="F29" t="s">
        <v>1744</v>
      </c>
      <c r="H29" t="s">
        <v>1740</v>
      </c>
    </row>
    <row r="30" spans="2:8" x14ac:dyDescent="0.25">
      <c r="F30" t="s">
        <v>1683</v>
      </c>
      <c r="H30" t="s">
        <v>1741</v>
      </c>
    </row>
    <row r="31" spans="2:8" x14ac:dyDescent="0.25">
      <c r="B31" s="73" t="s">
        <v>1598</v>
      </c>
      <c r="F31" t="s">
        <v>1681</v>
      </c>
      <c r="H31" t="s">
        <v>1742</v>
      </c>
    </row>
    <row r="32" spans="2:8" x14ac:dyDescent="0.25">
      <c r="B32" s="55" t="s">
        <v>1596</v>
      </c>
      <c r="D32" s="55" t="s">
        <v>1689</v>
      </c>
    </row>
    <row r="33" spans="2:8" x14ac:dyDescent="0.25">
      <c r="B33" t="s">
        <v>899</v>
      </c>
      <c r="D33" t="s">
        <v>1651</v>
      </c>
      <c r="F33" s="55" t="s">
        <v>1679</v>
      </c>
      <c r="H33" s="73" t="s">
        <v>1601</v>
      </c>
    </row>
    <row r="34" spans="2:8" x14ac:dyDescent="0.25">
      <c r="B34" s="97">
        <v>2013</v>
      </c>
      <c r="D34" s="97">
        <v>2018</v>
      </c>
      <c r="F34" t="s">
        <v>899</v>
      </c>
      <c r="H34" s="55" t="s">
        <v>1606</v>
      </c>
    </row>
    <row r="35" spans="2:8" ht="30" x14ac:dyDescent="0.25">
      <c r="B35" s="139" t="s">
        <v>903</v>
      </c>
      <c r="D35" t="s">
        <v>1948</v>
      </c>
      <c r="F35" s="97">
        <v>2013</v>
      </c>
      <c r="H35" t="s">
        <v>1602</v>
      </c>
    </row>
    <row r="36" spans="2:8" ht="45" x14ac:dyDescent="0.25">
      <c r="B36" s="139" t="s">
        <v>5</v>
      </c>
      <c r="D36" t="s">
        <v>1949</v>
      </c>
      <c r="F36" s="139" t="s">
        <v>903</v>
      </c>
      <c r="H36" s="97">
        <v>2012</v>
      </c>
    </row>
    <row r="37" spans="2:8" ht="30" x14ac:dyDescent="0.25">
      <c r="B37" t="s">
        <v>1597</v>
      </c>
      <c r="D37" t="s">
        <v>1652</v>
      </c>
      <c r="F37" s="139" t="s">
        <v>5</v>
      </c>
      <c r="H37" t="s">
        <v>1603</v>
      </c>
    </row>
    <row r="38" spans="2:8" x14ac:dyDescent="0.25">
      <c r="F38" t="s">
        <v>1674</v>
      </c>
      <c r="H38" s="139" t="s">
        <v>1604</v>
      </c>
    </row>
    <row r="39" spans="2:8" x14ac:dyDescent="0.25">
      <c r="D39" s="55" t="s">
        <v>1951</v>
      </c>
      <c r="H39" s="139" t="s">
        <v>1605</v>
      </c>
    </row>
    <row r="40" spans="2:8" x14ac:dyDescent="0.25">
      <c r="B40" s="73" t="s">
        <v>286</v>
      </c>
      <c r="D40" t="s">
        <v>1651</v>
      </c>
    </row>
    <row r="41" spans="2:8" x14ac:dyDescent="0.25">
      <c r="B41" s="55" t="s">
        <v>1653</v>
      </c>
      <c r="D41" s="97">
        <v>2018</v>
      </c>
      <c r="F41" s="55" t="s">
        <v>1673</v>
      </c>
      <c r="H41" s="73" t="s">
        <v>1688</v>
      </c>
    </row>
    <row r="42" spans="2:8" x14ac:dyDescent="0.25">
      <c r="B42" t="s">
        <v>899</v>
      </c>
      <c r="D42" t="s">
        <v>1952</v>
      </c>
      <c r="F42" t="s">
        <v>899</v>
      </c>
      <c r="H42" s="55" t="s">
        <v>1686</v>
      </c>
    </row>
    <row r="43" spans="2:8" x14ac:dyDescent="0.25">
      <c r="B43" s="97">
        <v>2013</v>
      </c>
      <c r="D43" t="s">
        <v>1953</v>
      </c>
      <c r="F43" s="97">
        <v>2017</v>
      </c>
      <c r="H43" t="s">
        <v>899</v>
      </c>
    </row>
    <row r="44" spans="2:8" ht="30" x14ac:dyDescent="0.25">
      <c r="B44" s="139" t="s">
        <v>903</v>
      </c>
      <c r="F44" t="s">
        <v>900</v>
      </c>
      <c r="H44" s="97">
        <v>2017</v>
      </c>
    </row>
    <row r="45" spans="2:8" ht="45" x14ac:dyDescent="0.25">
      <c r="B45" s="139" t="s">
        <v>5</v>
      </c>
      <c r="F45" s="139" t="s">
        <v>300</v>
      </c>
      <c r="H45" t="s">
        <v>1684</v>
      </c>
    </row>
    <row r="46" spans="2:8" x14ac:dyDescent="0.25">
      <c r="B46" t="s">
        <v>1654</v>
      </c>
      <c r="D46" s="73" t="s">
        <v>1078</v>
      </c>
      <c r="F46" s="139" t="s">
        <v>1672</v>
      </c>
      <c r="H46" s="139" t="s">
        <v>786</v>
      </c>
    </row>
    <row r="47" spans="2:8" x14ac:dyDescent="0.25">
      <c r="D47" s="55" t="s">
        <v>1079</v>
      </c>
      <c r="H47" s="139" t="s">
        <v>1682</v>
      </c>
    </row>
    <row r="48" spans="2:8" x14ac:dyDescent="0.25">
      <c r="D48" t="s">
        <v>901</v>
      </c>
      <c r="F48" s="55" t="s">
        <v>1671</v>
      </c>
    </row>
    <row r="49" spans="1:8" x14ac:dyDescent="0.25">
      <c r="D49" s="97">
        <v>2017</v>
      </c>
      <c r="F49" t="s">
        <v>899</v>
      </c>
      <c r="H49" s="55" t="s">
        <v>1680</v>
      </c>
    </row>
    <row r="50" spans="1:8" x14ac:dyDescent="0.25">
      <c r="D50" t="s">
        <v>1081</v>
      </c>
      <c r="F50" s="97">
        <v>2017</v>
      </c>
      <c r="H50" t="s">
        <v>1678</v>
      </c>
    </row>
    <row r="51" spans="1:8" x14ac:dyDescent="0.25">
      <c r="D51" t="s">
        <v>1082</v>
      </c>
      <c r="F51" t="s">
        <v>900</v>
      </c>
      <c r="H51" s="97">
        <v>2006</v>
      </c>
    </row>
    <row r="52" spans="1:8" x14ac:dyDescent="0.25">
      <c r="D52" s="139" t="s">
        <v>1083</v>
      </c>
      <c r="F52" s="139" t="s">
        <v>300</v>
      </c>
      <c r="H52" t="s">
        <v>1677</v>
      </c>
    </row>
    <row r="53" spans="1:8" x14ac:dyDescent="0.25">
      <c r="F53" s="139" t="s">
        <v>1670</v>
      </c>
    </row>
    <row r="55" spans="1:8" x14ac:dyDescent="0.25">
      <c r="A55" s="54" t="s">
        <v>1669</v>
      </c>
      <c r="B55" t="s">
        <v>1668</v>
      </c>
    </row>
    <row r="56" spans="1:8" x14ac:dyDescent="0.25">
      <c r="B56" t="s">
        <v>1691</v>
      </c>
    </row>
    <row r="58" spans="1:8" x14ac:dyDescent="0.25">
      <c r="A58" s="55" t="s">
        <v>1087</v>
      </c>
      <c r="B58" s="55"/>
      <c r="C58" s="55"/>
      <c r="D58" s="55"/>
      <c r="E58" s="55"/>
      <c r="F58" s="58"/>
    </row>
    <row r="59" spans="1:8" x14ac:dyDescent="0.25">
      <c r="A59" t="s">
        <v>275</v>
      </c>
      <c r="B59" t="s">
        <v>274</v>
      </c>
      <c r="C59" t="s">
        <v>291</v>
      </c>
      <c r="D59" t="s">
        <v>891</v>
      </c>
      <c r="E59" s="336" t="s">
        <v>905</v>
      </c>
    </row>
    <row r="60" spans="1:8" x14ac:dyDescent="0.25">
      <c r="A60" t="s">
        <v>276</v>
      </c>
      <c r="B60" t="s">
        <v>277</v>
      </c>
      <c r="C60" t="s">
        <v>762</v>
      </c>
      <c r="D60" t="s">
        <v>762</v>
      </c>
      <c r="E60" s="336" t="s">
        <v>762</v>
      </c>
    </row>
    <row r="61" spans="1:8" x14ac:dyDescent="0.25">
      <c r="A61" t="s">
        <v>276</v>
      </c>
      <c r="B61" t="s">
        <v>278</v>
      </c>
      <c r="C61" t="s">
        <v>762</v>
      </c>
      <c r="D61" t="s">
        <v>762</v>
      </c>
      <c r="E61" s="336" t="s">
        <v>762</v>
      </c>
    </row>
    <row r="62" spans="1:8" ht="45" x14ac:dyDescent="0.25">
      <c r="A62" t="s">
        <v>276</v>
      </c>
      <c r="B62" t="s">
        <v>763</v>
      </c>
      <c r="C62" t="s">
        <v>1084</v>
      </c>
      <c r="D62" s="139" t="s">
        <v>1085</v>
      </c>
      <c r="E62" s="336" t="s">
        <v>1086</v>
      </c>
    </row>
    <row r="63" spans="1:8" ht="60" x14ac:dyDescent="0.25">
      <c r="A63" t="s">
        <v>276</v>
      </c>
      <c r="B63" t="s">
        <v>764</v>
      </c>
      <c r="C63" t="s">
        <v>292</v>
      </c>
      <c r="D63" s="139" t="s">
        <v>1423</v>
      </c>
      <c r="E63" s="336" t="s">
        <v>1091</v>
      </c>
      <c r="H63" s="139" t="s">
        <v>1676</v>
      </c>
    </row>
    <row r="64" spans="1:8" ht="150" x14ac:dyDescent="0.25">
      <c r="A64" t="s">
        <v>276</v>
      </c>
      <c r="B64" t="s">
        <v>765</v>
      </c>
      <c r="C64" t="s">
        <v>228</v>
      </c>
      <c r="D64" s="139" t="s">
        <v>1717</v>
      </c>
      <c r="E64" s="336" t="s">
        <v>1420</v>
      </c>
      <c r="F64" s="139"/>
      <c r="H64" s="139" t="s">
        <v>1675</v>
      </c>
    </row>
    <row r="65" spans="1:5" ht="75" x14ac:dyDescent="0.25">
      <c r="A65" t="s">
        <v>276</v>
      </c>
      <c r="B65" t="s">
        <v>766</v>
      </c>
      <c r="C65" t="s">
        <v>228</v>
      </c>
      <c r="D65" s="139" t="s">
        <v>1425</v>
      </c>
      <c r="E65" s="336" t="s">
        <v>1424</v>
      </c>
    </row>
    <row r="66" spans="1:5" ht="45" x14ac:dyDescent="0.25">
      <c r="A66" t="s">
        <v>279</v>
      </c>
      <c r="B66" t="s">
        <v>767</v>
      </c>
      <c r="C66" t="s">
        <v>294</v>
      </c>
      <c r="D66" s="139" t="s">
        <v>1422</v>
      </c>
      <c r="E66" s="336" t="s">
        <v>906</v>
      </c>
    </row>
    <row r="67" spans="1:5" x14ac:dyDescent="0.25">
      <c r="A67" t="s">
        <v>279</v>
      </c>
      <c r="B67" t="s">
        <v>768</v>
      </c>
      <c r="C67" t="s">
        <v>229</v>
      </c>
      <c r="D67" s="139" t="s">
        <v>1435</v>
      </c>
      <c r="E67" s="336" t="s">
        <v>1436</v>
      </c>
    </row>
    <row r="68" spans="1:5" ht="30" x14ac:dyDescent="0.25">
      <c r="A68" t="s">
        <v>279</v>
      </c>
      <c r="B68" t="s">
        <v>769</v>
      </c>
      <c r="C68" t="s">
        <v>227</v>
      </c>
      <c r="D68" s="139" t="s">
        <v>1090</v>
      </c>
      <c r="E68" s="336" t="s">
        <v>1089</v>
      </c>
    </row>
    <row r="69" spans="1:5" ht="45" x14ac:dyDescent="0.25">
      <c r="A69" t="s">
        <v>279</v>
      </c>
      <c r="B69" t="s">
        <v>770</v>
      </c>
      <c r="C69" t="s">
        <v>295</v>
      </c>
      <c r="D69" s="139" t="s">
        <v>1945</v>
      </c>
      <c r="E69" s="336" t="s">
        <v>1600</v>
      </c>
    </row>
    <row r="70" spans="1:5" x14ac:dyDescent="0.25">
      <c r="A70" t="s">
        <v>279</v>
      </c>
      <c r="B70" t="s">
        <v>280</v>
      </c>
      <c r="C70" t="s">
        <v>295</v>
      </c>
      <c r="D70" s="139" t="s">
        <v>1609</v>
      </c>
      <c r="E70" s="336" t="s">
        <v>1610</v>
      </c>
    </row>
    <row r="71" spans="1:5" ht="45" x14ac:dyDescent="0.25">
      <c r="A71" t="s">
        <v>279</v>
      </c>
      <c r="B71" t="s">
        <v>281</v>
      </c>
      <c r="C71" t="s">
        <v>229</v>
      </c>
      <c r="D71" s="139" t="s">
        <v>1437</v>
      </c>
      <c r="E71" s="336" t="s">
        <v>1438</v>
      </c>
    </row>
    <row r="72" spans="1:5" ht="45" x14ac:dyDescent="0.25">
      <c r="A72" t="s">
        <v>279</v>
      </c>
      <c r="B72" t="s">
        <v>282</v>
      </c>
      <c r="C72" t="s">
        <v>229</v>
      </c>
      <c r="D72" s="139" t="s">
        <v>1913</v>
      </c>
      <c r="E72" s="336" t="s">
        <v>1912</v>
      </c>
    </row>
    <row r="73" spans="1:5" ht="75" x14ac:dyDescent="0.25">
      <c r="A73" t="s">
        <v>279</v>
      </c>
      <c r="B73" t="s">
        <v>283</v>
      </c>
      <c r="C73" t="s">
        <v>295</v>
      </c>
      <c r="D73" s="337" t="s">
        <v>1611</v>
      </c>
      <c r="E73" s="335" t="s">
        <v>1612</v>
      </c>
    </row>
    <row r="74" spans="1:5" ht="120" x14ac:dyDescent="0.25">
      <c r="A74" t="s">
        <v>279</v>
      </c>
      <c r="B74" t="s">
        <v>284</v>
      </c>
      <c r="C74" t="s">
        <v>295</v>
      </c>
      <c r="D74" s="337" t="s">
        <v>1638</v>
      </c>
      <c r="E74" s="335" t="s">
        <v>1639</v>
      </c>
    </row>
    <row r="75" spans="1:5" ht="90" x14ac:dyDescent="0.25">
      <c r="A75" t="s">
        <v>285</v>
      </c>
      <c r="B75" t="s">
        <v>286</v>
      </c>
      <c r="C75" t="s">
        <v>285</v>
      </c>
      <c r="D75" s="337" t="s">
        <v>1649</v>
      </c>
      <c r="E75" s="335" t="s">
        <v>1650</v>
      </c>
    </row>
    <row r="76" spans="1:5" ht="75" x14ac:dyDescent="0.25">
      <c r="A76" t="s">
        <v>285</v>
      </c>
      <c r="B76" t="s">
        <v>287</v>
      </c>
      <c r="C76" t="s">
        <v>285</v>
      </c>
      <c r="D76" s="337" t="s">
        <v>1656</v>
      </c>
      <c r="E76" s="335" t="s">
        <v>1655</v>
      </c>
    </row>
    <row r="77" spans="1:5" ht="45" x14ac:dyDescent="0.25">
      <c r="A77" t="s">
        <v>285</v>
      </c>
      <c r="B77" t="s">
        <v>1657</v>
      </c>
      <c r="C77" t="s">
        <v>285</v>
      </c>
      <c r="D77" s="337" t="s">
        <v>1658</v>
      </c>
      <c r="E77" s="335" t="s">
        <v>1659</v>
      </c>
    </row>
    <row r="78" spans="1:5" ht="285" x14ac:dyDescent="0.25">
      <c r="A78" t="s">
        <v>285</v>
      </c>
      <c r="B78" t="s">
        <v>288</v>
      </c>
      <c r="C78" t="s">
        <v>285</v>
      </c>
      <c r="D78" s="337" t="s">
        <v>1667</v>
      </c>
      <c r="E78" s="335" t="s">
        <v>1666</v>
      </c>
    </row>
    <row r="79" spans="1:5" ht="150" x14ac:dyDescent="0.25">
      <c r="A79" t="s">
        <v>289</v>
      </c>
      <c r="B79" t="s">
        <v>290</v>
      </c>
      <c r="C79" t="s">
        <v>289</v>
      </c>
      <c r="D79" s="337" t="s">
        <v>1665</v>
      </c>
      <c r="E79" s="335" t="s">
        <v>1664</v>
      </c>
    </row>
    <row r="80" spans="1:5" ht="315" customHeight="1" x14ac:dyDescent="0.25">
      <c r="A80" t="s">
        <v>289</v>
      </c>
      <c r="B80" s="61" t="s">
        <v>1663</v>
      </c>
      <c r="C80" t="s">
        <v>289</v>
      </c>
      <c r="D80" s="337" t="s">
        <v>1662</v>
      </c>
      <c r="E80" s="335" t="s">
        <v>1661</v>
      </c>
    </row>
    <row r="81" spans="1:5" x14ac:dyDescent="0.25">
      <c r="A81" t="s">
        <v>276</v>
      </c>
      <c r="B81" t="s">
        <v>1439</v>
      </c>
      <c r="C81" t="s">
        <v>1460</v>
      </c>
      <c r="D81" s="365" t="s">
        <v>1595</v>
      </c>
      <c r="E81" s="366" t="s">
        <v>1594</v>
      </c>
    </row>
    <row r="82" spans="1:5" x14ac:dyDescent="0.25">
      <c r="A82" t="s">
        <v>279</v>
      </c>
      <c r="B82" t="s">
        <v>1440</v>
      </c>
      <c r="C82" t="s">
        <v>229</v>
      </c>
      <c r="D82" s="365"/>
      <c r="E82" s="366"/>
    </row>
    <row r="83" spans="1:5" x14ac:dyDescent="0.25">
      <c r="A83" t="s">
        <v>279</v>
      </c>
      <c r="B83" t="s">
        <v>1441</v>
      </c>
      <c r="C83" t="s">
        <v>295</v>
      </c>
      <c r="D83" s="365"/>
      <c r="E83" s="366"/>
    </row>
    <row r="84" spans="1:5" x14ac:dyDescent="0.25">
      <c r="A84" t="s">
        <v>279</v>
      </c>
      <c r="B84" t="s">
        <v>1442</v>
      </c>
      <c r="C84" t="s">
        <v>295</v>
      </c>
      <c r="D84" s="365"/>
      <c r="E84" s="366"/>
    </row>
    <row r="85" spans="1:5" x14ac:dyDescent="0.25">
      <c r="A85" t="s">
        <v>279</v>
      </c>
      <c r="B85" t="s">
        <v>1443</v>
      </c>
      <c r="C85" t="s">
        <v>1461</v>
      </c>
      <c r="D85" s="365"/>
      <c r="E85" s="366"/>
    </row>
    <row r="86" spans="1:5" x14ac:dyDescent="0.25">
      <c r="A86" t="s">
        <v>279</v>
      </c>
      <c r="B86" t="s">
        <v>1444</v>
      </c>
      <c r="C86" t="s">
        <v>1461</v>
      </c>
      <c r="D86" s="365"/>
      <c r="E86" s="366"/>
    </row>
    <row r="87" spans="1:5" x14ac:dyDescent="0.25">
      <c r="A87" t="s">
        <v>279</v>
      </c>
      <c r="B87" t="s">
        <v>1445</v>
      </c>
      <c r="C87" t="s">
        <v>229</v>
      </c>
      <c r="D87" s="365"/>
      <c r="E87" s="366"/>
    </row>
    <row r="88" spans="1:5" x14ac:dyDescent="0.25">
      <c r="A88" t="s">
        <v>279</v>
      </c>
      <c r="B88" t="s">
        <v>1446</v>
      </c>
      <c r="C88" t="s">
        <v>295</v>
      </c>
      <c r="D88" s="365"/>
      <c r="E88" s="366"/>
    </row>
    <row r="89" spans="1:5" x14ac:dyDescent="0.25">
      <c r="A89" t="s">
        <v>279</v>
      </c>
      <c r="B89" t="s">
        <v>1447</v>
      </c>
      <c r="C89" t="s">
        <v>229</v>
      </c>
      <c r="D89" s="365"/>
      <c r="E89" s="366"/>
    </row>
    <row r="90" spans="1:5" x14ac:dyDescent="0.25">
      <c r="A90" t="s">
        <v>279</v>
      </c>
      <c r="B90" t="s">
        <v>1448</v>
      </c>
      <c r="C90" t="s">
        <v>228</v>
      </c>
      <c r="D90" s="365"/>
      <c r="E90" s="366"/>
    </row>
    <row r="91" spans="1:5" x14ac:dyDescent="0.25">
      <c r="A91" t="s">
        <v>279</v>
      </c>
      <c r="B91" t="s">
        <v>1449</v>
      </c>
      <c r="C91" t="s">
        <v>295</v>
      </c>
      <c r="D91" s="365"/>
      <c r="E91" s="366"/>
    </row>
    <row r="92" spans="1:5" x14ac:dyDescent="0.25">
      <c r="A92" t="s">
        <v>279</v>
      </c>
      <c r="B92" t="s">
        <v>1450</v>
      </c>
      <c r="C92" t="s">
        <v>295</v>
      </c>
      <c r="D92" s="365"/>
      <c r="E92" s="366"/>
    </row>
    <row r="93" spans="1:5" x14ac:dyDescent="0.25">
      <c r="A93" t="s">
        <v>279</v>
      </c>
      <c r="B93" t="s">
        <v>1451</v>
      </c>
      <c r="C93" t="s">
        <v>295</v>
      </c>
      <c r="D93" s="365"/>
      <c r="E93" s="366"/>
    </row>
    <row r="94" spans="1:5" x14ac:dyDescent="0.25">
      <c r="A94" t="s">
        <v>279</v>
      </c>
      <c r="B94" t="s">
        <v>1452</v>
      </c>
      <c r="C94" t="s">
        <v>229</v>
      </c>
      <c r="D94" s="365"/>
      <c r="E94" s="366"/>
    </row>
    <row r="95" spans="1:5" x14ac:dyDescent="0.25">
      <c r="A95" t="s">
        <v>279</v>
      </c>
      <c r="B95" t="s">
        <v>1453</v>
      </c>
      <c r="C95" t="s">
        <v>295</v>
      </c>
      <c r="D95" s="365"/>
      <c r="E95" s="366"/>
    </row>
    <row r="96" spans="1:5" x14ac:dyDescent="0.25">
      <c r="A96" t="s">
        <v>285</v>
      </c>
      <c r="B96" t="s">
        <v>1454</v>
      </c>
      <c r="C96" t="s">
        <v>285</v>
      </c>
      <c r="D96" s="365"/>
      <c r="E96" s="366"/>
    </row>
    <row r="97" spans="1:5" s="103" customFormat="1" x14ac:dyDescent="0.25">
      <c r="A97" s="104" t="s">
        <v>289</v>
      </c>
      <c r="B97" s="104" t="s">
        <v>1455</v>
      </c>
      <c r="C97" s="104" t="s">
        <v>289</v>
      </c>
      <c r="D97" s="365"/>
      <c r="E97" s="366"/>
    </row>
    <row r="98" spans="1:5" x14ac:dyDescent="0.25">
      <c r="A98" t="s">
        <v>289</v>
      </c>
      <c r="B98" t="s">
        <v>1456</v>
      </c>
      <c r="C98" t="s">
        <v>289</v>
      </c>
      <c r="D98" s="365"/>
      <c r="E98" s="366"/>
    </row>
    <row r="99" spans="1:5" x14ac:dyDescent="0.25">
      <c r="A99" t="s">
        <v>289</v>
      </c>
      <c r="B99" t="s">
        <v>1457</v>
      </c>
      <c r="C99" t="s">
        <v>295</v>
      </c>
      <c r="D99" s="365"/>
      <c r="E99" s="366"/>
    </row>
  </sheetData>
  <mergeCells count="2">
    <mergeCell ref="D81:D99"/>
    <mergeCell ref="E81:E99"/>
  </mergeCells>
  <hyperlinks>
    <hyperlink ref="D14" r:id="rId1"/>
    <hyperlink ref="F14"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1"/>
  <sheetViews>
    <sheetView zoomScaleNormal="100" workbookViewId="0">
      <pane xSplit="2" topLeftCell="C1" activePane="topRight" state="frozen"/>
      <selection pane="topRight" activeCell="E22" sqref="E22"/>
    </sheetView>
  </sheetViews>
  <sheetFormatPr defaultRowHeight="15" x14ac:dyDescent="0.25"/>
  <cols>
    <col min="1" max="1" width="38.28515625" customWidth="1"/>
    <col min="2" max="2" width="31.28515625" customWidth="1"/>
    <col min="3" max="3" width="18.7109375" customWidth="1"/>
    <col min="4" max="4" width="24.140625" customWidth="1"/>
    <col min="5" max="5" width="21.85546875" customWidth="1"/>
    <col min="6" max="6" width="14.28515625" customWidth="1"/>
    <col min="7" max="7" width="22" customWidth="1"/>
    <col min="8" max="8" width="12" bestFit="1" customWidth="1"/>
    <col min="9" max="9" width="14.5703125" customWidth="1"/>
    <col min="10" max="10" width="24" customWidth="1"/>
    <col min="11" max="11" width="12" bestFit="1" customWidth="1"/>
    <col min="12" max="12" width="12.85546875" customWidth="1"/>
    <col min="13" max="13" width="22" customWidth="1"/>
    <col min="14" max="16" width="12" bestFit="1" customWidth="1"/>
    <col min="17" max="17" width="12" customWidth="1"/>
    <col min="18" max="18" width="12" bestFit="1" customWidth="1"/>
    <col min="19" max="19" width="12" customWidth="1"/>
    <col min="20" max="37" width="12" bestFit="1" customWidth="1"/>
    <col min="38" max="38" width="10.7109375" customWidth="1"/>
  </cols>
  <sheetData>
    <row r="1" spans="1:37" x14ac:dyDescent="0.25">
      <c r="A1" s="55" t="s">
        <v>1736</v>
      </c>
      <c r="B1" s="58"/>
      <c r="C1" s="55"/>
      <c r="D1" s="55"/>
      <c r="E1" s="55"/>
      <c r="F1" s="55"/>
      <c r="G1" s="55"/>
      <c r="H1" s="55"/>
      <c r="I1" s="55"/>
    </row>
    <row r="2" spans="1:37" x14ac:dyDescent="0.25">
      <c r="B2">
        <v>2015</v>
      </c>
      <c r="C2">
        <v>2020</v>
      </c>
      <c r="D2">
        <v>2025</v>
      </c>
      <c r="E2">
        <v>2030</v>
      </c>
      <c r="F2">
        <v>2035</v>
      </c>
      <c r="G2">
        <v>2040</v>
      </c>
      <c r="H2">
        <v>2045</v>
      </c>
      <c r="I2">
        <v>2050</v>
      </c>
    </row>
    <row r="3" spans="1:37" x14ac:dyDescent="0.25">
      <c r="A3" t="s">
        <v>1735</v>
      </c>
      <c r="B3">
        <v>215</v>
      </c>
      <c r="C3">
        <v>285</v>
      </c>
      <c r="D3">
        <v>373</v>
      </c>
      <c r="E3">
        <v>420</v>
      </c>
      <c r="F3">
        <v>463</v>
      </c>
      <c r="G3">
        <v>500</v>
      </c>
      <c r="H3">
        <v>531</v>
      </c>
      <c r="I3">
        <v>556</v>
      </c>
    </row>
    <row r="4" spans="1:37" x14ac:dyDescent="0.25">
      <c r="A4" t="s">
        <v>1739</v>
      </c>
      <c r="B4">
        <v>212</v>
      </c>
      <c r="C4">
        <v>252</v>
      </c>
      <c r="D4">
        <v>305</v>
      </c>
      <c r="E4">
        <v>313</v>
      </c>
      <c r="F4">
        <v>335</v>
      </c>
      <c r="G4">
        <v>359</v>
      </c>
      <c r="H4">
        <v>379</v>
      </c>
      <c r="I4">
        <v>394</v>
      </c>
    </row>
    <row r="6" spans="1:37" x14ac:dyDescent="0.25">
      <c r="A6" s="55" t="s">
        <v>1737</v>
      </c>
      <c r="B6" s="58"/>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25">
      <c r="B7" s="61">
        <v>2015</v>
      </c>
      <c r="C7" s="61">
        <v>2016</v>
      </c>
      <c r="D7" s="61">
        <v>2017</v>
      </c>
      <c r="E7" s="61">
        <v>2018</v>
      </c>
      <c r="F7" s="61">
        <v>2019</v>
      </c>
      <c r="G7" s="61">
        <v>2020</v>
      </c>
      <c r="H7" s="61">
        <v>2021</v>
      </c>
      <c r="I7" s="61">
        <v>2022</v>
      </c>
      <c r="J7" s="61">
        <v>2023</v>
      </c>
      <c r="K7" s="61">
        <v>2024</v>
      </c>
      <c r="L7" s="61">
        <v>2025</v>
      </c>
      <c r="M7" s="61">
        <v>2026</v>
      </c>
      <c r="N7" s="61">
        <v>2027</v>
      </c>
      <c r="O7" s="61">
        <v>2028</v>
      </c>
      <c r="P7" s="61">
        <v>2029</v>
      </c>
      <c r="Q7" s="61">
        <v>2030</v>
      </c>
      <c r="R7" s="61">
        <v>2031</v>
      </c>
      <c r="S7" s="61">
        <v>2032</v>
      </c>
      <c r="T7" s="61">
        <v>2033</v>
      </c>
      <c r="U7" s="61">
        <v>2034</v>
      </c>
      <c r="V7" s="61">
        <v>2035</v>
      </c>
      <c r="W7" s="61">
        <v>2036</v>
      </c>
      <c r="X7" s="61">
        <v>2037</v>
      </c>
      <c r="Y7" s="61">
        <v>2038</v>
      </c>
      <c r="Z7" s="61">
        <v>2039</v>
      </c>
      <c r="AA7" s="61">
        <v>2040</v>
      </c>
      <c r="AB7" s="61">
        <v>2041</v>
      </c>
      <c r="AC7" s="61">
        <v>2042</v>
      </c>
      <c r="AD7" s="61">
        <v>2043</v>
      </c>
      <c r="AE7" s="61">
        <v>2044</v>
      </c>
      <c r="AF7" s="61">
        <v>2045</v>
      </c>
      <c r="AG7" s="61">
        <v>2046</v>
      </c>
      <c r="AH7" s="61">
        <v>2047</v>
      </c>
      <c r="AI7" s="61">
        <v>2048</v>
      </c>
      <c r="AJ7" s="61">
        <v>2049</v>
      </c>
      <c r="AK7" s="61">
        <v>2050</v>
      </c>
    </row>
    <row r="8" spans="1:37" x14ac:dyDescent="0.25">
      <c r="A8" t="s">
        <v>1735</v>
      </c>
      <c r="B8">
        <f t="shared" ref="B8:G8" si="0">TREND($B$3:$C$3,$B$2:$C$2,B7)</f>
        <v>215</v>
      </c>
      <c r="C8">
        <f t="shared" si="0"/>
        <v>229</v>
      </c>
      <c r="D8">
        <f t="shared" si="0"/>
        <v>243</v>
      </c>
      <c r="E8">
        <f t="shared" si="0"/>
        <v>257</v>
      </c>
      <c r="F8">
        <f t="shared" si="0"/>
        <v>271</v>
      </c>
      <c r="G8">
        <f t="shared" si="0"/>
        <v>285</v>
      </c>
      <c r="H8">
        <f>TREND($C$3:$D$3,$C$2:$D$2,H7)</f>
        <v>302.60000000000582</v>
      </c>
      <c r="I8">
        <f>TREND($C$3:$D$3,$C$2:$D$2,I7)</f>
        <v>320.20000000000437</v>
      </c>
      <c r="J8">
        <f>TREND($C$3:$D$3,$C$2:$D$2,J7)</f>
        <v>337.80000000000291</v>
      </c>
      <c r="K8">
        <f>TREND($C$3:$D$3,$C$2:$D$2,K7)</f>
        <v>355.40000000000146</v>
      </c>
      <c r="L8">
        <f>TREND($C$3:$D$3,$C$2:$D$2,L7)</f>
        <v>373</v>
      </c>
      <c r="M8">
        <f>TREND($D$3:$E$3,$D$2:$E$2,M7)</f>
        <v>382.40000000000146</v>
      </c>
      <c r="N8">
        <f>TREND($D$3:$E$3,$D$2:$E$2,N7)</f>
        <v>391.79999999999927</v>
      </c>
      <c r="O8">
        <f>TREND($D$3:$E$3,$D$2:$E$2,O7)</f>
        <v>401.20000000000073</v>
      </c>
      <c r="P8">
        <f>TREND($D$3:$E$3,$D$2:$E$2,P7)</f>
        <v>410.60000000000218</v>
      </c>
      <c r="Q8">
        <f>TREND($D$3:$E$3,$D$2:$E$2,Q7)</f>
        <v>420</v>
      </c>
      <c r="R8">
        <f>TREND($E$3:$F$3,$E$2:$F$2,R7)</f>
        <v>428.59999999999854</v>
      </c>
      <c r="S8">
        <f>TREND($E$3:$F$3,$E$2:$F$2,S7)</f>
        <v>437.20000000000073</v>
      </c>
      <c r="T8">
        <f>TREND($E$3:$F$3,$E$2:$F$2,T7)</f>
        <v>445.79999999999927</v>
      </c>
      <c r="U8">
        <f>TREND($E$3:$F$3,$E$2:$F$2,U7)</f>
        <v>454.39999999999782</v>
      </c>
      <c r="V8">
        <f>TREND($E$3:$F$3,$E$2:$F$2,V7)</f>
        <v>463</v>
      </c>
      <c r="W8">
        <f>TREND($F$3:$G$3,$F$2:$G$2,W7)</f>
        <v>470.40000000000146</v>
      </c>
      <c r="X8">
        <f>TREND($F$3:$G$3,$F$2:$G$2,X7)</f>
        <v>477.80000000000109</v>
      </c>
      <c r="Y8">
        <f>TREND($F$3:$G$3,$F$2:$G$2,Y7)</f>
        <v>485.20000000000073</v>
      </c>
      <c r="Z8">
        <f>TREND($F$3:$G$3,$F$2:$G$2,Z7)</f>
        <v>492.60000000000036</v>
      </c>
      <c r="AA8">
        <f>TREND($F$3:$G$3,$F$2:$G$2,AA7)</f>
        <v>500</v>
      </c>
      <c r="AB8">
        <f>TREND($G$3:$H$3,$G$2:$H$2,AB7)</f>
        <v>506.20000000000073</v>
      </c>
      <c r="AC8">
        <f>TREND($G$3:$H$3,$G$2:$H$2,AC7)</f>
        <v>512.39999999999964</v>
      </c>
      <c r="AD8">
        <f>TREND($G$3:$H$3,$G$2:$H$2,AD7)</f>
        <v>518.60000000000036</v>
      </c>
      <c r="AE8">
        <f>TREND($G$3:$H$3,$G$2:$H$2,AE7)</f>
        <v>524.80000000000109</v>
      </c>
      <c r="AF8">
        <f>TREND($G$3:$H$3,$G$2:$H$2,AF7)</f>
        <v>531</v>
      </c>
      <c r="AG8">
        <f>TREND($H$3:$I$3,$H$2:$I$2,AG7)</f>
        <v>536</v>
      </c>
      <c r="AH8">
        <f>TREND($H$3:$I$3,$H$2:$I$2,AH7)</f>
        <v>541</v>
      </c>
      <c r="AI8">
        <f>TREND($H$3:$I$3,$H$2:$I$2,AI7)</f>
        <v>546</v>
      </c>
      <c r="AJ8">
        <f>TREND($H$3:$I$3,$H$2:$I$2,AJ7)</f>
        <v>551</v>
      </c>
      <c r="AK8">
        <f>TREND($H$3:$I$3,$H$2:$I$2,AK7)</f>
        <v>556</v>
      </c>
    </row>
    <row r="9" spans="1:37" x14ac:dyDescent="0.25">
      <c r="A9" t="s">
        <v>1738</v>
      </c>
      <c r="B9">
        <f t="shared" ref="B9:G9" si="1">TREND($B$4:$C$4,$B$2:$C$2,B7)</f>
        <v>212</v>
      </c>
      <c r="C9">
        <f t="shared" si="1"/>
        <v>220</v>
      </c>
      <c r="D9">
        <f t="shared" si="1"/>
        <v>228</v>
      </c>
      <c r="E9">
        <f t="shared" si="1"/>
        <v>236</v>
      </c>
      <c r="F9">
        <f t="shared" si="1"/>
        <v>244</v>
      </c>
      <c r="G9">
        <f t="shared" si="1"/>
        <v>252</v>
      </c>
      <c r="H9">
        <f>TREND($C$4:$D$4,$C$2:$D$2,H7)</f>
        <v>262.59999999999854</v>
      </c>
      <c r="I9">
        <f>TREND($C$4:$D$4,$C$2:$D$2,I7)</f>
        <v>273.20000000000073</v>
      </c>
      <c r="J9">
        <f>TREND($C$4:$D$4,$C$2:$D$2,J7)</f>
        <v>283.79999999999927</v>
      </c>
      <c r="K9">
        <f>TREND($C$4:$D$4,$C$2:$D$2,K7)</f>
        <v>294.39999999999782</v>
      </c>
      <c r="L9">
        <f>TREND($C$4:$D$4,$C$2:$D$2,L7)</f>
        <v>305</v>
      </c>
      <c r="M9">
        <f>TREND($D$4:$E$4,$D$2:$E$2,M7)</f>
        <v>306.60000000000036</v>
      </c>
      <c r="N9">
        <f>TREND($D$4:$E$4,$D$2:$E$2,N7)</f>
        <v>308.20000000000027</v>
      </c>
      <c r="O9">
        <f>TREND($D$4:$E$4,$D$2:$E$2,O7)</f>
        <v>309.80000000000018</v>
      </c>
      <c r="P9">
        <f>TREND($D$4:$E$4,$D$2:$E$2,P7)</f>
        <v>311.40000000000009</v>
      </c>
      <c r="Q9">
        <f>TREND($D$4:$E$4,$D$2:$E$2,Q7)</f>
        <v>313</v>
      </c>
      <c r="R9">
        <f>TREND($E$4:$F$4,$E$2:$F$2,R7)</f>
        <v>317.40000000000146</v>
      </c>
      <c r="S9">
        <f>TREND($E$4:$F$4,$E$2:$F$2,S7)</f>
        <v>321.80000000000109</v>
      </c>
      <c r="T9">
        <f>TREND($E$4:$F$4,$E$2:$F$2,T7)</f>
        <v>326.20000000000073</v>
      </c>
      <c r="U9">
        <f>TREND($E$4:$F$4,$E$2:$F$2,U7)</f>
        <v>330.60000000000036</v>
      </c>
      <c r="V9">
        <f>TREND($E$4:$F$4,$E$2:$F$2,V7)</f>
        <v>335</v>
      </c>
      <c r="W9">
        <f>TREND($F$4:$G$4,$F$2:$G$2,W7)</f>
        <v>339.79999999999927</v>
      </c>
      <c r="X9">
        <f>TREND($F$4:$G$4,$F$2:$G$2,X7)</f>
        <v>344.60000000000036</v>
      </c>
      <c r="Y9">
        <f>TREND($F$4:$G$4,$F$2:$G$2,Y7)</f>
        <v>349.39999999999964</v>
      </c>
      <c r="Z9">
        <f>TREND($F$4:$G$4,$F$2:$G$2,Z7)</f>
        <v>354.19999999999891</v>
      </c>
      <c r="AA9">
        <f>TREND($F$4:$G$4,$F$2:$G$2,AA7)</f>
        <v>359</v>
      </c>
      <c r="AB9">
        <f>TREND($G$4:$H$4,$G$2:$H$2,AB7)</f>
        <v>363</v>
      </c>
      <c r="AC9">
        <f>TREND($G$4:$H$4,$G$2:$H$2,AC7)</f>
        <v>367</v>
      </c>
      <c r="AD9">
        <f>TREND($G$4:$H$4,$G$2:$H$2,AD7)</f>
        <v>371</v>
      </c>
      <c r="AE9">
        <f>TREND($G$4:$H$4,$G$2:$H$2,AE7)</f>
        <v>375</v>
      </c>
      <c r="AF9">
        <f>TREND($G$4:$H$4,$G$2:$H$2,AF7)</f>
        <v>379</v>
      </c>
      <c r="AG9">
        <f>TREND($H$4:$I$4,$H$2:$I$2,AG7)</f>
        <v>382</v>
      </c>
      <c r="AH9">
        <f>TREND($H$4:$I$4,$H$2:$I$2,AH7)</f>
        <v>385</v>
      </c>
      <c r="AI9">
        <f>TREND($H$4:$I$4,$H$2:$I$2,AI7)</f>
        <v>388</v>
      </c>
      <c r="AJ9">
        <f>TREND($H$4:$I$4,$H$2:$I$2,AJ7)</f>
        <v>391</v>
      </c>
      <c r="AK9">
        <f>TREND($H$4:$I$4,$H$2:$I$2,AK7)</f>
        <v>394</v>
      </c>
    </row>
    <row r="11" spans="1:37" x14ac:dyDescent="0.25">
      <c r="A11" t="s">
        <v>312</v>
      </c>
      <c r="B11" s="63">
        <f>B8*10^6</f>
        <v>215000000</v>
      </c>
      <c r="C11" s="63">
        <f t="shared" ref="C11:AK11" si="2">C8*10^6</f>
        <v>229000000</v>
      </c>
      <c r="D11" s="63">
        <f t="shared" si="2"/>
        <v>243000000</v>
      </c>
      <c r="E11" s="63">
        <f t="shared" si="2"/>
        <v>257000000</v>
      </c>
      <c r="F11" s="63">
        <f t="shared" si="2"/>
        <v>271000000</v>
      </c>
      <c r="G11" s="63">
        <f t="shared" si="2"/>
        <v>285000000</v>
      </c>
      <c r="H11" s="63">
        <f t="shared" si="2"/>
        <v>302600000.00000584</v>
      </c>
      <c r="I11" s="63">
        <f t="shared" si="2"/>
        <v>320200000.00000435</v>
      </c>
      <c r="J11" s="63">
        <f t="shared" si="2"/>
        <v>337800000.00000292</v>
      </c>
      <c r="K11" s="63">
        <f t="shared" si="2"/>
        <v>355400000.00000143</v>
      </c>
      <c r="L11" s="63">
        <f t="shared" si="2"/>
        <v>373000000</v>
      </c>
      <c r="M11" s="63">
        <f t="shared" si="2"/>
        <v>382400000.00000143</v>
      </c>
      <c r="N11" s="63">
        <f t="shared" si="2"/>
        <v>391799999.99999928</v>
      </c>
      <c r="O11" s="63">
        <f t="shared" si="2"/>
        <v>401200000.00000072</v>
      </c>
      <c r="P11" s="63">
        <f t="shared" si="2"/>
        <v>410600000.00000221</v>
      </c>
      <c r="Q11" s="63">
        <f t="shared" si="2"/>
        <v>420000000</v>
      </c>
      <c r="R11" s="63">
        <f t="shared" si="2"/>
        <v>428599999.99999857</v>
      </c>
      <c r="S11" s="63">
        <f t="shared" si="2"/>
        <v>437200000.00000072</v>
      </c>
      <c r="T11" s="63">
        <f t="shared" si="2"/>
        <v>445799999.99999928</v>
      </c>
      <c r="U11" s="63">
        <f t="shared" si="2"/>
        <v>454399999.99999779</v>
      </c>
      <c r="V11" s="63">
        <f t="shared" si="2"/>
        <v>463000000</v>
      </c>
      <c r="W11" s="63">
        <f t="shared" si="2"/>
        <v>470400000.00000143</v>
      </c>
      <c r="X11" s="63">
        <f t="shared" si="2"/>
        <v>477800000.00000107</v>
      </c>
      <c r="Y11" s="63">
        <f t="shared" si="2"/>
        <v>485200000.00000072</v>
      </c>
      <c r="Z11" s="63">
        <f t="shared" si="2"/>
        <v>492600000.00000036</v>
      </c>
      <c r="AA11" s="63">
        <f t="shared" si="2"/>
        <v>500000000</v>
      </c>
      <c r="AB11" s="63">
        <f t="shared" si="2"/>
        <v>506200000.00000072</v>
      </c>
      <c r="AC11" s="63">
        <f t="shared" si="2"/>
        <v>512399999.99999964</v>
      </c>
      <c r="AD11" s="63">
        <f t="shared" si="2"/>
        <v>518600000.00000036</v>
      </c>
      <c r="AE11" s="63">
        <f t="shared" si="2"/>
        <v>524800000.00000107</v>
      </c>
      <c r="AF11" s="63">
        <f t="shared" si="2"/>
        <v>531000000</v>
      </c>
      <c r="AG11" s="63">
        <f t="shared" si="2"/>
        <v>536000000</v>
      </c>
      <c r="AH11" s="63">
        <f t="shared" si="2"/>
        <v>541000000</v>
      </c>
      <c r="AI11" s="63">
        <f t="shared" si="2"/>
        <v>546000000</v>
      </c>
      <c r="AJ11" s="63">
        <f t="shared" si="2"/>
        <v>551000000</v>
      </c>
      <c r="AK11" s="63">
        <f t="shared" si="2"/>
        <v>556000000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19"/>
  <sheetViews>
    <sheetView workbookViewId="0">
      <selection activeCell="C18" sqref="C18"/>
    </sheetView>
  </sheetViews>
  <sheetFormatPr defaultRowHeight="15" x14ac:dyDescent="0.25"/>
  <cols>
    <col min="1" max="1" width="30" bestFit="1" customWidth="1"/>
    <col min="2" max="2" width="12.42578125" customWidth="1"/>
  </cols>
  <sheetData>
    <row r="1" spans="1:37" x14ac:dyDescent="0.25">
      <c r="A1" s="55" t="s">
        <v>771</v>
      </c>
      <c r="B1" s="55"/>
      <c r="C1" s="55"/>
      <c r="D1" s="55"/>
      <c r="E1" s="55"/>
      <c r="F1" s="55"/>
      <c r="G1" s="55"/>
    </row>
    <row r="2" spans="1:37" x14ac:dyDescent="0.25">
      <c r="B2">
        <v>2006</v>
      </c>
      <c r="C2">
        <v>2012</v>
      </c>
      <c r="D2">
        <v>2013</v>
      </c>
      <c r="E2">
        <v>2014</v>
      </c>
      <c r="F2">
        <v>2015</v>
      </c>
      <c r="G2">
        <v>2016</v>
      </c>
    </row>
    <row r="3" spans="1:37" x14ac:dyDescent="0.25">
      <c r="A3" t="s">
        <v>772</v>
      </c>
      <c r="B3">
        <v>2284</v>
      </c>
      <c r="C3">
        <v>2070</v>
      </c>
      <c r="D3">
        <v>1948</v>
      </c>
      <c r="E3">
        <v>1710</v>
      </c>
      <c r="F3">
        <v>1587</v>
      </c>
      <c r="G3">
        <v>818</v>
      </c>
    </row>
    <row r="5" spans="1:37" x14ac:dyDescent="0.25">
      <c r="A5" s="55" t="s">
        <v>773</v>
      </c>
      <c r="B5" s="55"/>
      <c r="C5" s="55"/>
      <c r="D5" s="55"/>
      <c r="E5" s="55"/>
      <c r="F5" s="55"/>
      <c r="G5" s="55"/>
    </row>
    <row r="6" spans="1:37" x14ac:dyDescent="0.25">
      <c r="B6">
        <v>2006</v>
      </c>
      <c r="C6">
        <v>2012</v>
      </c>
      <c r="D6">
        <v>2013</v>
      </c>
      <c r="E6">
        <v>2014</v>
      </c>
      <c r="F6">
        <v>2015</v>
      </c>
      <c r="G6">
        <v>2016</v>
      </c>
    </row>
    <row r="7" spans="1:37" x14ac:dyDescent="0.25">
      <c r="A7" t="s">
        <v>463</v>
      </c>
      <c r="B7" s="338">
        <f>'Cross-Page Data'!AU46/10^3</f>
        <v>3.8010000000000002</v>
      </c>
      <c r="C7" s="338">
        <f>'Cross-Page Data'!BA46/10^3</f>
        <v>3.4390000000000001</v>
      </c>
      <c r="D7" s="338">
        <f>'Cross-Page Data'!BB46/10^3</f>
        <v>3.2549999999999999</v>
      </c>
      <c r="E7" s="338">
        <f>'Cross-Page Data'!BC46/10^3</f>
        <v>2.8330000000000002</v>
      </c>
      <c r="F7" s="338">
        <f>'Cross-Page Data'!BD46/10^3</f>
        <v>2.7669999999999999</v>
      </c>
      <c r="G7" s="338">
        <f>'Cross-Page Data'!BE46/10^3</f>
        <v>1.3340000000000001</v>
      </c>
      <c r="H7" s="338"/>
    </row>
    <row r="8" spans="1:37" x14ac:dyDescent="0.25">
      <c r="A8" t="s">
        <v>774</v>
      </c>
      <c r="B8">
        <f>'Cross-Page Data'!AU190</f>
        <v>2.9</v>
      </c>
      <c r="C8">
        <f>'Cross-Page Data'!BA190</f>
        <v>2.9</v>
      </c>
      <c r="D8">
        <f>'Cross-Page Data'!BB190</f>
        <v>3</v>
      </c>
      <c r="E8">
        <f>'Cross-Page Data'!BC190</f>
        <v>2.5</v>
      </c>
      <c r="F8">
        <f>'Cross-Page Data'!BD190</f>
        <v>2</v>
      </c>
      <c r="G8">
        <f>'Cross-Page Data'!BE190</f>
        <v>1.4</v>
      </c>
    </row>
    <row r="10" spans="1:37" x14ac:dyDescent="0.25">
      <c r="A10" s="55" t="s">
        <v>775</v>
      </c>
      <c r="B10" s="55"/>
      <c r="C10" s="55"/>
      <c r="D10" s="55"/>
      <c r="E10" s="55"/>
      <c r="F10" s="55"/>
      <c r="G10" s="55"/>
      <c r="H10" s="58"/>
      <c r="I10" s="58"/>
    </row>
    <row r="11" spans="1:37" x14ac:dyDescent="0.25">
      <c r="B11">
        <f>B2</f>
        <v>2006</v>
      </c>
      <c r="C11">
        <f t="shared" ref="C11:G11" si="0">C2</f>
        <v>2012</v>
      </c>
      <c r="D11">
        <f t="shared" si="0"/>
        <v>2013</v>
      </c>
      <c r="E11">
        <f t="shared" si="0"/>
        <v>2014</v>
      </c>
      <c r="F11">
        <f t="shared" si="0"/>
        <v>2015</v>
      </c>
      <c r="G11">
        <f t="shared" si="0"/>
        <v>2016</v>
      </c>
      <c r="H11" t="s">
        <v>581</v>
      </c>
      <c r="I11" t="s">
        <v>778</v>
      </c>
    </row>
    <row r="12" spans="1:37" x14ac:dyDescent="0.25">
      <c r="A12" t="s">
        <v>776</v>
      </c>
      <c r="B12" s="63">
        <f>B7/B3</f>
        <v>1.6641856392294221E-3</v>
      </c>
      <c r="C12" s="63">
        <f t="shared" ref="C12:G12" si="1">C7/C3</f>
        <v>1.661352657004831E-3</v>
      </c>
      <c r="D12" s="63">
        <f t="shared" si="1"/>
        <v>1.6709445585215605E-3</v>
      </c>
      <c r="E12" s="63">
        <f t="shared" si="1"/>
        <v>1.6567251461988306E-3</v>
      </c>
      <c r="F12" s="63">
        <f t="shared" si="1"/>
        <v>1.74354127284184E-3</v>
      </c>
      <c r="G12" s="63">
        <f t="shared" si="1"/>
        <v>1.6308068459657704E-3</v>
      </c>
      <c r="H12">
        <f>AVERAGE(C12:G12)</f>
        <v>1.6726740961065666E-3</v>
      </c>
      <c r="I12" t="s">
        <v>593</v>
      </c>
    </row>
    <row r="13" spans="1:37" x14ac:dyDescent="0.25">
      <c r="A13" t="s">
        <v>777</v>
      </c>
      <c r="B13" s="63">
        <f>B8/B3</f>
        <v>1.2697022767075305E-3</v>
      </c>
      <c r="C13" s="63">
        <f t="shared" ref="C13:G13" si="2">C8/C3</f>
        <v>1.4009661835748793E-3</v>
      </c>
      <c r="D13" s="63">
        <f t="shared" si="2"/>
        <v>1.540041067761807E-3</v>
      </c>
      <c r="E13" s="63">
        <f t="shared" si="2"/>
        <v>1.4619883040935672E-3</v>
      </c>
      <c r="F13" s="63">
        <f t="shared" si="2"/>
        <v>1.260239445494644E-3</v>
      </c>
      <c r="G13" s="63">
        <f t="shared" si="2"/>
        <v>1.7114914425427872E-3</v>
      </c>
      <c r="H13">
        <f>AVERAGE(C13:G13)</f>
        <v>1.474945288693537E-3</v>
      </c>
      <c r="I13">
        <f>0.5*B13</f>
        <v>6.3485113835376526E-4</v>
      </c>
    </row>
    <row r="16" spans="1:37" x14ac:dyDescent="0.25">
      <c r="A16" s="55" t="s">
        <v>555</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row>
    <row r="17" spans="1:36" x14ac:dyDescent="0.25">
      <c r="B17">
        <v>2016</v>
      </c>
      <c r="C17">
        <v>2017</v>
      </c>
      <c r="D17">
        <v>2018</v>
      </c>
      <c r="E17">
        <v>2019</v>
      </c>
      <c r="F17">
        <v>2020</v>
      </c>
      <c r="G17">
        <v>2021</v>
      </c>
      <c r="H17">
        <v>2022</v>
      </c>
      <c r="I17">
        <v>2023</v>
      </c>
      <c r="J17">
        <v>2024</v>
      </c>
      <c r="K17">
        <v>2025</v>
      </c>
      <c r="L17">
        <v>2026</v>
      </c>
      <c r="M17">
        <v>2027</v>
      </c>
      <c r="N17">
        <v>2028</v>
      </c>
      <c r="O17">
        <v>2029</v>
      </c>
      <c r="P17">
        <v>2030</v>
      </c>
      <c r="Q17">
        <v>2031</v>
      </c>
      <c r="R17">
        <v>2032</v>
      </c>
      <c r="S17">
        <v>2033</v>
      </c>
      <c r="T17">
        <v>2034</v>
      </c>
      <c r="U17">
        <v>2035</v>
      </c>
      <c r="V17">
        <v>2036</v>
      </c>
      <c r="W17">
        <v>2037</v>
      </c>
      <c r="X17">
        <v>2038</v>
      </c>
      <c r="Y17">
        <v>2039</v>
      </c>
      <c r="Z17">
        <v>2040</v>
      </c>
      <c r="AA17">
        <v>2041</v>
      </c>
      <c r="AB17">
        <v>2042</v>
      </c>
      <c r="AC17">
        <v>2043</v>
      </c>
      <c r="AD17">
        <v>2044</v>
      </c>
      <c r="AE17">
        <v>2045</v>
      </c>
      <c r="AF17">
        <v>2046</v>
      </c>
      <c r="AG17">
        <v>2047</v>
      </c>
      <c r="AH17">
        <v>2048</v>
      </c>
      <c r="AI17">
        <v>2049</v>
      </c>
      <c r="AJ17">
        <v>2050</v>
      </c>
    </row>
    <row r="18" spans="1:36" x14ac:dyDescent="0.25">
      <c r="A18" t="s">
        <v>779</v>
      </c>
      <c r="B18" s="338">
        <f>G7</f>
        <v>1.3340000000000001</v>
      </c>
      <c r="C18">
        <f>B18</f>
        <v>1.3340000000000001</v>
      </c>
      <c r="D18">
        <f t="shared" ref="D18:AJ18" si="3">C18</f>
        <v>1.3340000000000001</v>
      </c>
      <c r="E18">
        <f t="shared" si="3"/>
        <v>1.3340000000000001</v>
      </c>
      <c r="F18">
        <f t="shared" si="3"/>
        <v>1.3340000000000001</v>
      </c>
      <c r="G18">
        <f t="shared" si="3"/>
        <v>1.3340000000000001</v>
      </c>
      <c r="H18">
        <f t="shared" si="3"/>
        <v>1.3340000000000001</v>
      </c>
      <c r="I18">
        <f t="shared" si="3"/>
        <v>1.3340000000000001</v>
      </c>
      <c r="J18">
        <f t="shared" si="3"/>
        <v>1.3340000000000001</v>
      </c>
      <c r="K18">
        <f t="shared" si="3"/>
        <v>1.3340000000000001</v>
      </c>
      <c r="L18">
        <f t="shared" si="3"/>
        <v>1.3340000000000001</v>
      </c>
      <c r="M18">
        <f t="shared" si="3"/>
        <v>1.3340000000000001</v>
      </c>
      <c r="N18">
        <f t="shared" si="3"/>
        <v>1.3340000000000001</v>
      </c>
      <c r="O18">
        <f t="shared" si="3"/>
        <v>1.3340000000000001</v>
      </c>
      <c r="P18">
        <f t="shared" si="3"/>
        <v>1.3340000000000001</v>
      </c>
      <c r="Q18">
        <f t="shared" si="3"/>
        <v>1.3340000000000001</v>
      </c>
      <c r="R18">
        <f t="shared" si="3"/>
        <v>1.3340000000000001</v>
      </c>
      <c r="S18">
        <f t="shared" si="3"/>
        <v>1.3340000000000001</v>
      </c>
      <c r="T18">
        <f t="shared" si="3"/>
        <v>1.3340000000000001</v>
      </c>
      <c r="U18">
        <f t="shared" si="3"/>
        <v>1.3340000000000001</v>
      </c>
      <c r="V18">
        <f t="shared" si="3"/>
        <v>1.3340000000000001</v>
      </c>
      <c r="W18">
        <f t="shared" si="3"/>
        <v>1.3340000000000001</v>
      </c>
      <c r="X18">
        <f t="shared" si="3"/>
        <v>1.3340000000000001</v>
      </c>
      <c r="Y18">
        <f t="shared" si="3"/>
        <v>1.3340000000000001</v>
      </c>
      <c r="Z18">
        <f t="shared" si="3"/>
        <v>1.3340000000000001</v>
      </c>
      <c r="AA18">
        <f t="shared" si="3"/>
        <v>1.3340000000000001</v>
      </c>
      <c r="AB18">
        <f t="shared" si="3"/>
        <v>1.3340000000000001</v>
      </c>
      <c r="AC18">
        <f t="shared" si="3"/>
        <v>1.3340000000000001</v>
      </c>
      <c r="AD18">
        <f t="shared" si="3"/>
        <v>1.3340000000000001</v>
      </c>
      <c r="AE18">
        <f t="shared" si="3"/>
        <v>1.3340000000000001</v>
      </c>
      <c r="AF18">
        <f t="shared" si="3"/>
        <v>1.3340000000000001</v>
      </c>
      <c r="AG18">
        <f t="shared" si="3"/>
        <v>1.3340000000000001</v>
      </c>
      <c r="AH18">
        <f t="shared" si="3"/>
        <v>1.3340000000000001</v>
      </c>
      <c r="AI18">
        <f t="shared" si="3"/>
        <v>1.3340000000000001</v>
      </c>
      <c r="AJ18">
        <f t="shared" si="3"/>
        <v>1.3340000000000001</v>
      </c>
    </row>
    <row r="19" spans="1:36" x14ac:dyDescent="0.25">
      <c r="A19" t="s">
        <v>774</v>
      </c>
      <c r="B19" s="101">
        <f>G8</f>
        <v>1.4</v>
      </c>
      <c r="C19" s="101">
        <f>(($I$13-$G$13)/5*COUNTIF($B$17:C17,"&lt;="&amp;2020)+$G$13)*$G$3</f>
        <v>1.047723292469352</v>
      </c>
      <c r="D19" s="101">
        <f>(($I$13-$G$13)/5*COUNTIF($B$17:D17,"&lt;="&amp;2020)+$G$13)*$G$3</f>
        <v>0.87158493870402809</v>
      </c>
      <c r="E19" s="101">
        <f>(($I$13-$G$13)/5*COUNTIF($B$17:E17,"&lt;="&amp;2020)+$G$13)*$G$3</f>
        <v>0.69544658493870404</v>
      </c>
      <c r="F19" s="101">
        <f>(($I$13-$G$13)/5*COUNTIF($B$17:F17,"&lt;="&amp;2020)+$G$13)*$G$3</f>
        <v>0.5193082311733801</v>
      </c>
      <c r="G19" s="101">
        <f>(($I$13-$G$13)/5*COUNTIF($B$17:G17,"&lt;="&amp;2020)+$G$13)*$G$3</f>
        <v>0.5193082311733801</v>
      </c>
      <c r="H19" s="101">
        <f>(($I$13-$G$13)/5*COUNTIF($B$17:H17,"&lt;="&amp;2020)+$G$13)*$G$3</f>
        <v>0.5193082311733801</v>
      </c>
      <c r="I19" s="101">
        <f>(($I$13-$G$13)/5*COUNTIF($B$17:I17,"&lt;="&amp;2020)+$G$13)*$G$3</f>
        <v>0.5193082311733801</v>
      </c>
      <c r="J19" s="101">
        <f>(($I$13-$G$13)/5*COUNTIF($B$17:J17,"&lt;="&amp;2020)+$G$13)*$G$3</f>
        <v>0.5193082311733801</v>
      </c>
      <c r="K19" s="101">
        <f>(($I$13-$G$13)/5*COUNTIF($B$17:K17,"&lt;="&amp;2020)+$G$13)*$G$3</f>
        <v>0.5193082311733801</v>
      </c>
      <c r="L19" s="101">
        <f>(($I$13-$G$13)/5*COUNTIF($B$17:L17,"&lt;="&amp;2020)+$G$13)*$G$3</f>
        <v>0.5193082311733801</v>
      </c>
      <c r="M19" s="101">
        <f>(($I$13-$G$13)/5*COUNTIF($B$17:M17,"&lt;="&amp;2020)+$G$13)*$G$3</f>
        <v>0.5193082311733801</v>
      </c>
      <c r="N19" s="101">
        <f>(($I$13-$G$13)/5*COUNTIF($B$17:N17,"&lt;="&amp;2020)+$G$13)*$G$3</f>
        <v>0.5193082311733801</v>
      </c>
      <c r="O19" s="101">
        <f>(($I$13-$G$13)/5*COUNTIF($B$17:O17,"&lt;="&amp;2020)+$G$13)*$G$3</f>
        <v>0.5193082311733801</v>
      </c>
      <c r="P19" s="101">
        <f>(($I$13-$G$13)/5*COUNTIF($B$17:P17,"&lt;="&amp;2020)+$G$13)*$G$3</f>
        <v>0.5193082311733801</v>
      </c>
      <c r="Q19" s="101">
        <f>(($I$13-$G$13)/5*COUNTIF($B$17:Q17,"&lt;="&amp;2020)+$G$13)*$G$3</f>
        <v>0.5193082311733801</v>
      </c>
      <c r="R19" s="101">
        <f>(($I$13-$G$13)/5*COUNTIF($B$17:R17,"&lt;="&amp;2020)+$G$13)*$G$3</f>
        <v>0.5193082311733801</v>
      </c>
      <c r="S19" s="101">
        <f>(($I$13-$G$13)/5*COUNTIF($B$17:S17,"&lt;="&amp;2020)+$G$13)*$G$3</f>
        <v>0.5193082311733801</v>
      </c>
      <c r="T19" s="101">
        <f>(($I$13-$G$13)/5*COUNTIF($B$17:T17,"&lt;="&amp;2020)+$G$13)*$G$3</f>
        <v>0.5193082311733801</v>
      </c>
      <c r="U19" s="101">
        <f>(($I$13-$G$13)/5*COUNTIF($B$17:U17,"&lt;="&amp;2020)+$G$13)*$G$3</f>
        <v>0.5193082311733801</v>
      </c>
      <c r="V19" s="101">
        <f>(($I$13-$G$13)/5*COUNTIF($B$17:V17,"&lt;="&amp;2020)+$G$13)*$G$3</f>
        <v>0.5193082311733801</v>
      </c>
      <c r="W19" s="101">
        <f>(($I$13-$G$13)/5*COUNTIF($B$17:W17,"&lt;="&amp;2020)+$G$13)*$G$3</f>
        <v>0.5193082311733801</v>
      </c>
      <c r="X19" s="101">
        <f>(($I$13-$G$13)/5*COUNTIF($B$17:X17,"&lt;="&amp;2020)+$G$13)*$G$3</f>
        <v>0.5193082311733801</v>
      </c>
      <c r="Y19" s="101">
        <f>(($I$13-$G$13)/5*COUNTIF($B$17:Y17,"&lt;="&amp;2020)+$G$13)*$G$3</f>
        <v>0.5193082311733801</v>
      </c>
      <c r="Z19" s="101">
        <f>(($I$13-$G$13)/5*COUNTIF($B$17:Z17,"&lt;="&amp;2020)+$G$13)*$G$3</f>
        <v>0.5193082311733801</v>
      </c>
      <c r="AA19" s="101">
        <f>(($I$13-$G$13)/5*COUNTIF($B$17:AA17,"&lt;="&amp;2020)+$G$13)*$G$3</f>
        <v>0.5193082311733801</v>
      </c>
      <c r="AB19" s="101">
        <f>(($I$13-$G$13)/5*COUNTIF($B$17:AB17,"&lt;="&amp;2020)+$G$13)*$G$3</f>
        <v>0.5193082311733801</v>
      </c>
      <c r="AC19" s="101">
        <f>(($I$13-$G$13)/5*COUNTIF($B$17:AC17,"&lt;="&amp;2020)+$G$13)*$G$3</f>
        <v>0.5193082311733801</v>
      </c>
      <c r="AD19" s="101">
        <f>(($I$13-$G$13)/5*COUNTIF($B$17:AD17,"&lt;="&amp;2020)+$G$13)*$G$3</f>
        <v>0.5193082311733801</v>
      </c>
      <c r="AE19" s="101">
        <f>(($I$13-$G$13)/5*COUNTIF($B$17:AE17,"&lt;="&amp;2020)+$G$13)*$G$3</f>
        <v>0.5193082311733801</v>
      </c>
      <c r="AF19" s="101">
        <f>(($I$13-$G$13)/5*COUNTIF($B$17:AF17,"&lt;="&amp;2020)+$G$13)*$G$3</f>
        <v>0.5193082311733801</v>
      </c>
      <c r="AG19" s="101">
        <f>(($I$13-$G$13)/5*COUNTIF($B$17:AG17,"&lt;="&amp;2020)+$G$13)*$G$3</f>
        <v>0.5193082311733801</v>
      </c>
      <c r="AH19" s="101">
        <f>(($I$13-$G$13)/5*COUNTIF($B$17:AH17,"&lt;="&amp;2020)+$G$13)*$G$3</f>
        <v>0.5193082311733801</v>
      </c>
      <c r="AI19" s="101">
        <f>(($I$13-$G$13)/5*COUNTIF($B$17:AI17,"&lt;="&amp;2020)+$G$13)*$G$3</f>
        <v>0.5193082311733801</v>
      </c>
      <c r="AJ19" s="101">
        <f>(($I$13-$G$13)/5*COUNTIF($B$17:AJ17,"&lt;="&amp;2020)+$G$13)*$G$3</f>
        <v>0.5193082311733801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4"/>
  <sheetViews>
    <sheetView workbookViewId="0">
      <selection activeCell="B4" sqref="B4"/>
    </sheetView>
  </sheetViews>
  <sheetFormatPr defaultRowHeight="15" x14ac:dyDescent="0.25"/>
  <cols>
    <col min="1" max="1" width="31.85546875" customWidth="1"/>
  </cols>
  <sheetData>
    <row r="1" spans="1:41" x14ac:dyDescent="0.25">
      <c r="A1" s="55" t="s">
        <v>781</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row>
    <row r="2" spans="1:41" x14ac:dyDescent="0.25">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41" x14ac:dyDescent="0.25">
      <c r="A3" t="s">
        <v>463</v>
      </c>
      <c r="B3">
        <f>'Cross-Page Data'!BE53/10^3</f>
        <v>3.0000000000000001E-3</v>
      </c>
      <c r="C3">
        <f t="shared" ref="C3:AJ3" si="0">B3</f>
        <v>3.0000000000000001E-3</v>
      </c>
      <c r="D3">
        <f t="shared" si="0"/>
        <v>3.0000000000000001E-3</v>
      </c>
      <c r="E3">
        <f t="shared" si="0"/>
        <v>3.0000000000000001E-3</v>
      </c>
      <c r="F3">
        <f t="shared" si="0"/>
        <v>3.0000000000000001E-3</v>
      </c>
      <c r="G3">
        <f t="shared" si="0"/>
        <v>3.0000000000000001E-3</v>
      </c>
      <c r="H3">
        <f t="shared" si="0"/>
        <v>3.0000000000000001E-3</v>
      </c>
      <c r="I3">
        <f t="shared" si="0"/>
        <v>3.0000000000000001E-3</v>
      </c>
      <c r="J3">
        <f t="shared" si="0"/>
        <v>3.0000000000000001E-3</v>
      </c>
      <c r="K3">
        <f t="shared" si="0"/>
        <v>3.0000000000000001E-3</v>
      </c>
      <c r="L3">
        <f t="shared" si="0"/>
        <v>3.0000000000000001E-3</v>
      </c>
      <c r="M3">
        <f t="shared" si="0"/>
        <v>3.0000000000000001E-3</v>
      </c>
      <c r="N3">
        <f t="shared" si="0"/>
        <v>3.0000000000000001E-3</v>
      </c>
      <c r="O3">
        <f t="shared" si="0"/>
        <v>3.0000000000000001E-3</v>
      </c>
      <c r="P3">
        <f t="shared" si="0"/>
        <v>3.0000000000000001E-3</v>
      </c>
      <c r="Q3">
        <f t="shared" si="0"/>
        <v>3.0000000000000001E-3</v>
      </c>
      <c r="R3">
        <f t="shared" si="0"/>
        <v>3.0000000000000001E-3</v>
      </c>
      <c r="S3">
        <f t="shared" si="0"/>
        <v>3.0000000000000001E-3</v>
      </c>
      <c r="T3">
        <f t="shared" si="0"/>
        <v>3.0000000000000001E-3</v>
      </c>
      <c r="U3">
        <f t="shared" si="0"/>
        <v>3.0000000000000001E-3</v>
      </c>
      <c r="V3">
        <f t="shared" si="0"/>
        <v>3.0000000000000001E-3</v>
      </c>
      <c r="W3">
        <f t="shared" si="0"/>
        <v>3.0000000000000001E-3</v>
      </c>
      <c r="X3">
        <f t="shared" si="0"/>
        <v>3.0000000000000001E-3</v>
      </c>
      <c r="Y3">
        <f t="shared" si="0"/>
        <v>3.0000000000000001E-3</v>
      </c>
      <c r="Z3">
        <f t="shared" si="0"/>
        <v>3.0000000000000001E-3</v>
      </c>
      <c r="AA3">
        <f t="shared" si="0"/>
        <v>3.0000000000000001E-3</v>
      </c>
      <c r="AB3">
        <f t="shared" si="0"/>
        <v>3.0000000000000001E-3</v>
      </c>
      <c r="AC3">
        <f t="shared" si="0"/>
        <v>3.0000000000000001E-3</v>
      </c>
      <c r="AD3">
        <f t="shared" si="0"/>
        <v>3.0000000000000001E-3</v>
      </c>
      <c r="AE3">
        <f t="shared" si="0"/>
        <v>3.0000000000000001E-3</v>
      </c>
      <c r="AF3">
        <f t="shared" si="0"/>
        <v>3.0000000000000001E-3</v>
      </c>
      <c r="AG3">
        <f t="shared" si="0"/>
        <v>3.0000000000000001E-3</v>
      </c>
      <c r="AH3">
        <f t="shared" si="0"/>
        <v>3.0000000000000001E-3</v>
      </c>
      <c r="AI3">
        <f t="shared" si="0"/>
        <v>3.0000000000000001E-3</v>
      </c>
      <c r="AJ3">
        <f t="shared" si="0"/>
        <v>3.0000000000000001E-3</v>
      </c>
    </row>
    <row r="4" spans="1:41" x14ac:dyDescent="0.25">
      <c r="A4" t="s">
        <v>780</v>
      </c>
      <c r="B4">
        <f>'Cross-Page Data'!BE187+'Cross-Page Data'!BE194</f>
        <v>1.1000000000000001</v>
      </c>
      <c r="C4">
        <f t="shared" ref="C4:AJ4" si="1">B4</f>
        <v>1.1000000000000001</v>
      </c>
      <c r="D4">
        <f t="shared" si="1"/>
        <v>1.1000000000000001</v>
      </c>
      <c r="E4">
        <f t="shared" si="1"/>
        <v>1.1000000000000001</v>
      </c>
      <c r="F4">
        <f t="shared" si="1"/>
        <v>1.1000000000000001</v>
      </c>
      <c r="G4">
        <f t="shared" si="1"/>
        <v>1.1000000000000001</v>
      </c>
      <c r="H4">
        <f t="shared" si="1"/>
        <v>1.1000000000000001</v>
      </c>
      <c r="I4">
        <f t="shared" si="1"/>
        <v>1.1000000000000001</v>
      </c>
      <c r="J4">
        <f t="shared" si="1"/>
        <v>1.1000000000000001</v>
      </c>
      <c r="K4">
        <f t="shared" si="1"/>
        <v>1.1000000000000001</v>
      </c>
      <c r="L4">
        <f t="shared" si="1"/>
        <v>1.1000000000000001</v>
      </c>
      <c r="M4">
        <f t="shared" si="1"/>
        <v>1.1000000000000001</v>
      </c>
      <c r="N4">
        <f t="shared" si="1"/>
        <v>1.1000000000000001</v>
      </c>
      <c r="O4">
        <f t="shared" si="1"/>
        <v>1.1000000000000001</v>
      </c>
      <c r="P4">
        <f t="shared" si="1"/>
        <v>1.1000000000000001</v>
      </c>
      <c r="Q4">
        <f t="shared" si="1"/>
        <v>1.1000000000000001</v>
      </c>
      <c r="R4">
        <f t="shared" si="1"/>
        <v>1.1000000000000001</v>
      </c>
      <c r="S4">
        <f t="shared" si="1"/>
        <v>1.1000000000000001</v>
      </c>
      <c r="T4">
        <f t="shared" si="1"/>
        <v>1.1000000000000001</v>
      </c>
      <c r="U4">
        <f t="shared" si="1"/>
        <v>1.1000000000000001</v>
      </c>
      <c r="V4">
        <f t="shared" si="1"/>
        <v>1.1000000000000001</v>
      </c>
      <c r="W4">
        <f t="shared" si="1"/>
        <v>1.1000000000000001</v>
      </c>
      <c r="X4">
        <f t="shared" si="1"/>
        <v>1.1000000000000001</v>
      </c>
      <c r="Y4">
        <f t="shared" si="1"/>
        <v>1.1000000000000001</v>
      </c>
      <c r="Z4">
        <f t="shared" si="1"/>
        <v>1.1000000000000001</v>
      </c>
      <c r="AA4">
        <f t="shared" si="1"/>
        <v>1.1000000000000001</v>
      </c>
      <c r="AB4">
        <f t="shared" si="1"/>
        <v>1.1000000000000001</v>
      </c>
      <c r="AC4">
        <f t="shared" si="1"/>
        <v>1.1000000000000001</v>
      </c>
      <c r="AD4">
        <f t="shared" si="1"/>
        <v>1.1000000000000001</v>
      </c>
      <c r="AE4">
        <f t="shared" si="1"/>
        <v>1.1000000000000001</v>
      </c>
      <c r="AF4">
        <f t="shared" si="1"/>
        <v>1.1000000000000001</v>
      </c>
      <c r="AG4">
        <f t="shared" si="1"/>
        <v>1.1000000000000001</v>
      </c>
      <c r="AH4">
        <f t="shared" si="1"/>
        <v>1.1000000000000001</v>
      </c>
      <c r="AI4">
        <f t="shared" si="1"/>
        <v>1.1000000000000001</v>
      </c>
      <c r="AJ4">
        <f t="shared" si="1"/>
        <v>1.1000000000000001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N15"/>
  <sheetViews>
    <sheetView workbookViewId="0">
      <selection activeCell="H23" sqref="H23"/>
    </sheetView>
  </sheetViews>
  <sheetFormatPr defaultRowHeight="15" x14ac:dyDescent="0.25"/>
  <cols>
    <col min="1" max="1" width="19.5703125" customWidth="1"/>
  </cols>
  <sheetData>
    <row r="1" spans="1:40" x14ac:dyDescent="0.25">
      <c r="A1" s="55" t="s">
        <v>782</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row>
    <row r="2" spans="1:40" x14ac:dyDescent="0.25">
      <c r="A2">
        <v>2012</v>
      </c>
      <c r="B2">
        <v>2013</v>
      </c>
      <c r="C2">
        <v>2014</v>
      </c>
      <c r="D2">
        <v>2015</v>
      </c>
      <c r="E2">
        <v>2016</v>
      </c>
      <c r="F2">
        <v>2017</v>
      </c>
      <c r="G2">
        <v>2018</v>
      </c>
      <c r="H2">
        <v>2019</v>
      </c>
      <c r="I2">
        <v>2020</v>
      </c>
      <c r="J2">
        <v>2021</v>
      </c>
      <c r="K2">
        <v>2022</v>
      </c>
      <c r="L2">
        <v>2023</v>
      </c>
      <c r="M2">
        <v>2024</v>
      </c>
      <c r="N2">
        <v>2025</v>
      </c>
      <c r="O2">
        <v>2026</v>
      </c>
      <c r="P2">
        <v>2027</v>
      </c>
      <c r="Q2">
        <v>2028</v>
      </c>
      <c r="R2">
        <v>2029</v>
      </c>
      <c r="S2">
        <v>2030</v>
      </c>
      <c r="T2">
        <v>2031</v>
      </c>
      <c r="U2">
        <v>2032</v>
      </c>
      <c r="V2">
        <v>2033</v>
      </c>
      <c r="W2">
        <v>2034</v>
      </c>
      <c r="X2">
        <v>2035</v>
      </c>
      <c r="Y2">
        <v>2036</v>
      </c>
      <c r="Z2">
        <v>2037</v>
      </c>
      <c r="AA2">
        <v>2038</v>
      </c>
      <c r="AB2">
        <v>2039</v>
      </c>
      <c r="AC2">
        <v>2040</v>
      </c>
      <c r="AD2">
        <v>2041</v>
      </c>
      <c r="AE2">
        <v>2042</v>
      </c>
      <c r="AF2">
        <v>2043</v>
      </c>
      <c r="AG2">
        <v>2044</v>
      </c>
      <c r="AH2">
        <v>2045</v>
      </c>
      <c r="AI2">
        <v>2046</v>
      </c>
      <c r="AJ2">
        <v>2047</v>
      </c>
      <c r="AK2">
        <v>2048</v>
      </c>
      <c r="AL2">
        <v>2049</v>
      </c>
      <c r="AM2">
        <v>2050</v>
      </c>
    </row>
    <row r="3" spans="1:40" x14ac:dyDescent="0.25">
      <c r="A3">
        <v>0.12</v>
      </c>
      <c r="B3">
        <f>($I$3-$A$3)/COUNT($B$2:$I$2)+A3</f>
        <v>0.11125</v>
      </c>
      <c r="C3">
        <f t="shared" ref="C3:H3" si="0">($I$3-$A$3)/COUNT($B$2:$I$2)+B3</f>
        <v>0.10250000000000001</v>
      </c>
      <c r="D3">
        <f t="shared" si="0"/>
        <v>9.3750000000000014E-2</v>
      </c>
      <c r="E3">
        <f t="shared" si="0"/>
        <v>8.500000000000002E-2</v>
      </c>
      <c r="F3">
        <f t="shared" si="0"/>
        <v>7.6250000000000026E-2</v>
      </c>
      <c r="G3">
        <f t="shared" si="0"/>
        <v>6.7500000000000032E-2</v>
      </c>
      <c r="H3">
        <f t="shared" si="0"/>
        <v>5.8750000000000031E-2</v>
      </c>
      <c r="I3">
        <v>0.05</v>
      </c>
      <c r="J3">
        <f>I3</f>
        <v>0.05</v>
      </c>
      <c r="K3">
        <f>J3</f>
        <v>0.05</v>
      </c>
      <c r="L3">
        <f t="shared" ref="L3:AM3" si="1">K3</f>
        <v>0.05</v>
      </c>
      <c r="M3">
        <f t="shared" si="1"/>
        <v>0.05</v>
      </c>
      <c r="N3">
        <f t="shared" si="1"/>
        <v>0.05</v>
      </c>
      <c r="O3">
        <f t="shared" si="1"/>
        <v>0.05</v>
      </c>
      <c r="P3">
        <f t="shared" si="1"/>
        <v>0.05</v>
      </c>
      <c r="Q3">
        <f t="shared" si="1"/>
        <v>0.05</v>
      </c>
      <c r="R3">
        <f t="shared" si="1"/>
        <v>0.05</v>
      </c>
      <c r="S3">
        <f t="shared" si="1"/>
        <v>0.05</v>
      </c>
      <c r="T3">
        <f t="shared" si="1"/>
        <v>0.05</v>
      </c>
      <c r="U3">
        <f t="shared" si="1"/>
        <v>0.05</v>
      </c>
      <c r="V3">
        <f t="shared" si="1"/>
        <v>0.05</v>
      </c>
      <c r="W3">
        <f t="shared" si="1"/>
        <v>0.05</v>
      </c>
      <c r="X3">
        <f t="shared" si="1"/>
        <v>0.05</v>
      </c>
      <c r="Y3">
        <f t="shared" si="1"/>
        <v>0.05</v>
      </c>
      <c r="Z3">
        <f t="shared" si="1"/>
        <v>0.05</v>
      </c>
      <c r="AA3">
        <f t="shared" si="1"/>
        <v>0.05</v>
      </c>
      <c r="AB3">
        <f t="shared" si="1"/>
        <v>0.05</v>
      </c>
      <c r="AC3">
        <f t="shared" si="1"/>
        <v>0.05</v>
      </c>
      <c r="AD3">
        <f t="shared" si="1"/>
        <v>0.05</v>
      </c>
      <c r="AE3">
        <f t="shared" si="1"/>
        <v>0.05</v>
      </c>
      <c r="AF3">
        <f t="shared" si="1"/>
        <v>0.05</v>
      </c>
      <c r="AG3">
        <f t="shared" si="1"/>
        <v>0.05</v>
      </c>
      <c r="AH3">
        <f t="shared" si="1"/>
        <v>0.05</v>
      </c>
      <c r="AI3">
        <f t="shared" si="1"/>
        <v>0.05</v>
      </c>
      <c r="AJ3">
        <f t="shared" si="1"/>
        <v>0.05</v>
      </c>
      <c r="AK3">
        <f t="shared" si="1"/>
        <v>0.05</v>
      </c>
      <c r="AL3">
        <f t="shared" si="1"/>
        <v>0.05</v>
      </c>
      <c r="AM3">
        <f t="shared" si="1"/>
        <v>0.05</v>
      </c>
    </row>
    <row r="5" spans="1:40" x14ac:dyDescent="0.25">
      <c r="A5" s="55" t="s">
        <v>1946</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row>
    <row r="6" spans="1:40" x14ac:dyDescent="0.25">
      <c r="A6">
        <v>2016</v>
      </c>
      <c r="B6">
        <v>2017</v>
      </c>
      <c r="C6">
        <v>2018</v>
      </c>
      <c r="D6">
        <v>2019</v>
      </c>
      <c r="E6">
        <v>2020</v>
      </c>
      <c r="F6">
        <v>2021</v>
      </c>
      <c r="G6">
        <v>2022</v>
      </c>
      <c r="H6">
        <v>2023</v>
      </c>
      <c r="I6">
        <v>2024</v>
      </c>
      <c r="J6">
        <v>2025</v>
      </c>
      <c r="K6">
        <v>2026</v>
      </c>
      <c r="L6">
        <v>2027</v>
      </c>
      <c r="M6">
        <v>2028</v>
      </c>
      <c r="N6">
        <v>2029</v>
      </c>
      <c r="O6">
        <v>2030</v>
      </c>
      <c r="P6">
        <v>2031</v>
      </c>
      <c r="Q6">
        <v>2032</v>
      </c>
      <c r="R6">
        <v>2033</v>
      </c>
      <c r="S6">
        <v>2034</v>
      </c>
      <c r="T6">
        <v>2035</v>
      </c>
      <c r="U6">
        <v>2036</v>
      </c>
      <c r="V6">
        <v>2037</v>
      </c>
      <c r="W6">
        <v>2038</v>
      </c>
      <c r="X6">
        <v>2039</v>
      </c>
      <c r="Y6">
        <v>2040</v>
      </c>
      <c r="Z6">
        <v>2041</v>
      </c>
      <c r="AA6">
        <v>2042</v>
      </c>
      <c r="AB6">
        <v>2043</v>
      </c>
      <c r="AC6">
        <v>2044</v>
      </c>
      <c r="AD6">
        <v>2045</v>
      </c>
      <c r="AE6">
        <v>2046</v>
      </c>
      <c r="AF6">
        <v>2047</v>
      </c>
      <c r="AG6">
        <v>2048</v>
      </c>
      <c r="AH6">
        <v>2049</v>
      </c>
      <c r="AI6">
        <v>2050</v>
      </c>
    </row>
    <row r="7" spans="1:40" x14ac:dyDescent="0.25">
      <c r="A7">
        <v>1</v>
      </c>
      <c r="B7">
        <f>A7*(1+F3)</f>
        <v>1.0762499999999999</v>
      </c>
      <c r="C7">
        <f t="shared" ref="C7:AI7" si="2">B7*(1+G3)</f>
        <v>1.1488968750000002</v>
      </c>
      <c r="D7">
        <f t="shared" si="2"/>
        <v>1.2163945664062503</v>
      </c>
      <c r="E7">
        <f t="shared" si="2"/>
        <v>1.2772142947265628</v>
      </c>
      <c r="F7">
        <f t="shared" si="2"/>
        <v>1.3410750094628909</v>
      </c>
      <c r="G7">
        <f t="shared" si="2"/>
        <v>1.4081287599360355</v>
      </c>
      <c r="H7">
        <f t="shared" si="2"/>
        <v>1.4785351979328374</v>
      </c>
      <c r="I7">
        <f t="shared" si="2"/>
        <v>1.5524619578294794</v>
      </c>
      <c r="J7">
        <f t="shared" si="2"/>
        <v>1.6300850557209534</v>
      </c>
      <c r="K7">
        <f t="shared" si="2"/>
        <v>1.7115893085070011</v>
      </c>
      <c r="L7">
        <f t="shared" si="2"/>
        <v>1.7971687739323512</v>
      </c>
      <c r="M7">
        <f t="shared" si="2"/>
        <v>1.8870272126289689</v>
      </c>
      <c r="N7">
        <f t="shared" si="2"/>
        <v>1.9813785732604174</v>
      </c>
      <c r="O7">
        <f t="shared" si="2"/>
        <v>2.0804475019234383</v>
      </c>
      <c r="P7">
        <f t="shared" si="2"/>
        <v>2.1844698770196103</v>
      </c>
      <c r="Q7">
        <f t="shared" si="2"/>
        <v>2.2936933708705909</v>
      </c>
      <c r="R7">
        <f t="shared" si="2"/>
        <v>2.4083780394141203</v>
      </c>
      <c r="S7">
        <f t="shared" si="2"/>
        <v>2.5287969413848264</v>
      </c>
      <c r="T7">
        <f t="shared" si="2"/>
        <v>2.6552367884540677</v>
      </c>
      <c r="U7">
        <f t="shared" si="2"/>
        <v>2.7879986278767714</v>
      </c>
      <c r="V7">
        <f t="shared" si="2"/>
        <v>2.92739855927061</v>
      </c>
      <c r="W7">
        <f t="shared" si="2"/>
        <v>3.0737684872341404</v>
      </c>
      <c r="X7">
        <f t="shared" si="2"/>
        <v>3.2274569115958478</v>
      </c>
      <c r="Y7">
        <f t="shared" si="2"/>
        <v>3.3888297571756403</v>
      </c>
      <c r="Z7">
        <f t="shared" si="2"/>
        <v>3.5582712450344225</v>
      </c>
      <c r="AA7">
        <f t="shared" si="2"/>
        <v>3.7361848072861439</v>
      </c>
      <c r="AB7">
        <f t="shared" si="2"/>
        <v>3.9229940476504512</v>
      </c>
      <c r="AC7">
        <f t="shared" si="2"/>
        <v>4.1191437500329737</v>
      </c>
      <c r="AD7">
        <f t="shared" si="2"/>
        <v>4.3251009375346223</v>
      </c>
      <c r="AE7">
        <f t="shared" si="2"/>
        <v>4.5413559844113536</v>
      </c>
      <c r="AF7">
        <f t="shared" si="2"/>
        <v>4.7684237836319214</v>
      </c>
      <c r="AG7">
        <f t="shared" si="2"/>
        <v>5.0068449728135178</v>
      </c>
      <c r="AH7">
        <f t="shared" si="2"/>
        <v>5.2571872214541937</v>
      </c>
      <c r="AI7">
        <f t="shared" si="2"/>
        <v>5.5200465825269038</v>
      </c>
    </row>
    <row r="9" spans="1:40" x14ac:dyDescent="0.25">
      <c r="A9" s="55" t="s">
        <v>784</v>
      </c>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row>
    <row r="10" spans="1:40" x14ac:dyDescent="0.25">
      <c r="A10" s="98">
        <v>0.15</v>
      </c>
      <c r="B10" t="s">
        <v>785</v>
      </c>
    </row>
    <row r="12" spans="1:40" x14ac:dyDescent="0.25">
      <c r="A12" s="55" t="s">
        <v>555</v>
      </c>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row>
    <row r="13" spans="1:40" x14ac:dyDescent="0.25">
      <c r="B13">
        <v>2016</v>
      </c>
      <c r="C13">
        <v>2017</v>
      </c>
      <c r="D13">
        <v>2018</v>
      </c>
      <c r="E13">
        <v>2019</v>
      </c>
      <c r="F13">
        <v>2020</v>
      </c>
      <c r="G13">
        <v>2021</v>
      </c>
      <c r="H13">
        <v>2022</v>
      </c>
      <c r="I13">
        <v>2023</v>
      </c>
      <c r="J13">
        <v>2024</v>
      </c>
      <c r="K13">
        <v>2025</v>
      </c>
      <c r="L13">
        <v>2026</v>
      </c>
      <c r="M13">
        <v>2027</v>
      </c>
      <c r="N13">
        <v>2028</v>
      </c>
      <c r="O13">
        <v>2029</v>
      </c>
      <c r="P13">
        <v>2030</v>
      </c>
      <c r="Q13">
        <v>2031</v>
      </c>
      <c r="R13">
        <v>2032</v>
      </c>
      <c r="S13">
        <v>2033</v>
      </c>
      <c r="T13">
        <v>2034</v>
      </c>
      <c r="U13">
        <v>2035</v>
      </c>
      <c r="V13">
        <v>2036</v>
      </c>
      <c r="W13">
        <v>2037</v>
      </c>
      <c r="X13">
        <v>2038</v>
      </c>
      <c r="Y13">
        <v>2039</v>
      </c>
      <c r="Z13">
        <v>2040</v>
      </c>
      <c r="AA13">
        <v>2041</v>
      </c>
      <c r="AB13">
        <v>2042</v>
      </c>
      <c r="AC13">
        <v>2043</v>
      </c>
      <c r="AD13">
        <v>2044</v>
      </c>
      <c r="AE13">
        <v>2045</v>
      </c>
      <c r="AF13">
        <v>2046</v>
      </c>
      <c r="AG13">
        <v>2047</v>
      </c>
      <c r="AH13">
        <v>2048</v>
      </c>
      <c r="AI13">
        <v>2049</v>
      </c>
      <c r="AJ13">
        <v>2050</v>
      </c>
    </row>
    <row r="14" spans="1:40" x14ac:dyDescent="0.25">
      <c r="A14" t="s">
        <v>783</v>
      </c>
      <c r="B14">
        <f>'Cross-Page Data'!BE186+'Cross-Page Data'!BE189+'Cross-Page Data'!BE195</f>
        <v>4.0999999999999996</v>
      </c>
      <c r="C14">
        <f t="shared" ref="C14:AJ14" si="3">$B14*B7-(B7-1)*$A$10*$B14</f>
        <v>4.3657312499999996</v>
      </c>
      <c r="D14">
        <f t="shared" si="3"/>
        <v>4.6189056093750001</v>
      </c>
      <c r="E14">
        <f t="shared" si="3"/>
        <v>4.8541350639257823</v>
      </c>
      <c r="F14">
        <f t="shared" si="3"/>
        <v>5.0660918171220706</v>
      </c>
      <c r="G14">
        <f t="shared" si="3"/>
        <v>5.2886464079781739</v>
      </c>
      <c r="H14">
        <f t="shared" si="3"/>
        <v>5.5223287283770839</v>
      </c>
      <c r="I14">
        <f t="shared" si="3"/>
        <v>5.7676951647959385</v>
      </c>
      <c r="J14">
        <f t="shared" si="3"/>
        <v>6.0253299230357351</v>
      </c>
      <c r="K14">
        <f t="shared" si="3"/>
        <v>6.2958464191875221</v>
      </c>
      <c r="L14">
        <f t="shared" si="3"/>
        <v>6.5798887401468988</v>
      </c>
      <c r="M14">
        <f t="shared" si="3"/>
        <v>6.8781331771542433</v>
      </c>
      <c r="N14">
        <f t="shared" si="3"/>
        <v>7.1912898360119559</v>
      </c>
      <c r="O14">
        <f t="shared" si="3"/>
        <v>7.5201043278125539</v>
      </c>
      <c r="P14">
        <f t="shared" si="3"/>
        <v>7.8653595442031818</v>
      </c>
      <c r="Q14">
        <f t="shared" si="3"/>
        <v>8.2278775214133404</v>
      </c>
      <c r="R14">
        <f t="shared" si="3"/>
        <v>8.6085213974840098</v>
      </c>
      <c r="S14">
        <f t="shared" si="3"/>
        <v>9.0081974673582081</v>
      </c>
      <c r="T14">
        <f t="shared" si="3"/>
        <v>9.4278573407261188</v>
      </c>
      <c r="U14">
        <f t="shared" si="3"/>
        <v>9.8685002077624269</v>
      </c>
      <c r="V14">
        <f t="shared" si="3"/>
        <v>10.331175218150547</v>
      </c>
      <c r="W14">
        <f t="shared" si="3"/>
        <v>10.816983979058074</v>
      </c>
      <c r="X14">
        <f t="shared" si="3"/>
        <v>11.327083178010978</v>
      </c>
      <c r="Y14">
        <f t="shared" si="3"/>
        <v>11.862687336911529</v>
      </c>
      <c r="Z14">
        <f t="shared" si="3"/>
        <v>12.425071703757107</v>
      </c>
      <c r="AA14">
        <f t="shared" si="3"/>
        <v>13.015575288944961</v>
      </c>
      <c r="AB14">
        <f t="shared" si="3"/>
        <v>13.63560405339221</v>
      </c>
      <c r="AC14">
        <f t="shared" si="3"/>
        <v>14.28663425606182</v>
      </c>
      <c r="AD14">
        <f t="shared" si="3"/>
        <v>14.970215968864911</v>
      </c>
      <c r="AE14">
        <f t="shared" si="3"/>
        <v>15.687976767308157</v>
      </c>
      <c r="AF14">
        <f t="shared" si="3"/>
        <v>16.441625605673565</v>
      </c>
      <c r="AG14">
        <f t="shared" si="3"/>
        <v>17.232956885957243</v>
      </c>
      <c r="AH14">
        <f t="shared" si="3"/>
        <v>18.063854730255105</v>
      </c>
      <c r="AI14">
        <f t="shared" si="3"/>
        <v>18.936297466767861</v>
      </c>
      <c r="AJ14">
        <f t="shared" si="3"/>
        <v>19.852362340106257</v>
      </c>
    </row>
    <row r="15" spans="1:40" x14ac:dyDescent="0.25">
      <c r="A15" t="s">
        <v>756</v>
      </c>
      <c r="B15">
        <f>'Cross-Page Data'!BE89</f>
        <v>1</v>
      </c>
      <c r="C15">
        <f t="shared" ref="C15:AJ15" si="4">$B15*B7-(B7-1)*$A$10*$B15</f>
        <v>1.0648124999999999</v>
      </c>
      <c r="D15">
        <f t="shared" si="4"/>
        <v>1.1265623437500001</v>
      </c>
      <c r="E15">
        <f t="shared" si="4"/>
        <v>1.1839353814453129</v>
      </c>
      <c r="F15">
        <f t="shared" si="4"/>
        <v>1.2356321505175785</v>
      </c>
      <c r="G15">
        <f t="shared" si="4"/>
        <v>1.2899137580434572</v>
      </c>
      <c r="H15">
        <f t="shared" si="4"/>
        <v>1.3469094459456301</v>
      </c>
      <c r="I15">
        <f t="shared" si="4"/>
        <v>1.4067549182429118</v>
      </c>
      <c r="J15">
        <f t="shared" si="4"/>
        <v>1.4695926641550574</v>
      </c>
      <c r="K15">
        <f t="shared" si="4"/>
        <v>1.5355722973628103</v>
      </c>
      <c r="L15">
        <f t="shared" si="4"/>
        <v>1.6048509122309509</v>
      </c>
      <c r="M15">
        <f t="shared" si="4"/>
        <v>1.6775934578424985</v>
      </c>
      <c r="N15">
        <f t="shared" si="4"/>
        <v>1.7539731307346236</v>
      </c>
      <c r="O15">
        <f t="shared" si="4"/>
        <v>1.8341717872713548</v>
      </c>
      <c r="P15">
        <f t="shared" si="4"/>
        <v>1.9183803766349226</v>
      </c>
      <c r="Q15">
        <f t="shared" si="4"/>
        <v>2.0067993954666687</v>
      </c>
      <c r="R15">
        <f t="shared" si="4"/>
        <v>2.0996393652400021</v>
      </c>
      <c r="S15">
        <f t="shared" si="4"/>
        <v>2.1971213335020021</v>
      </c>
      <c r="T15">
        <f t="shared" si="4"/>
        <v>2.2994774001771026</v>
      </c>
      <c r="U15">
        <f t="shared" si="4"/>
        <v>2.4069512701859574</v>
      </c>
      <c r="V15">
        <f t="shared" si="4"/>
        <v>2.5197988336952557</v>
      </c>
      <c r="W15">
        <f t="shared" si="4"/>
        <v>2.6382887753800186</v>
      </c>
      <c r="X15">
        <f t="shared" si="4"/>
        <v>2.7627032141490195</v>
      </c>
      <c r="Y15">
        <f t="shared" si="4"/>
        <v>2.8933383748564707</v>
      </c>
      <c r="Z15">
        <f t="shared" si="4"/>
        <v>3.0305052935992944</v>
      </c>
      <c r="AA15">
        <f t="shared" si="4"/>
        <v>3.1745305582792591</v>
      </c>
      <c r="AB15">
        <f t="shared" si="4"/>
        <v>3.3257570861932222</v>
      </c>
      <c r="AC15">
        <f t="shared" si="4"/>
        <v>3.4845449405028837</v>
      </c>
      <c r="AD15">
        <f t="shared" si="4"/>
        <v>3.6512721875280278</v>
      </c>
      <c r="AE15">
        <f t="shared" si="4"/>
        <v>3.8263357969044289</v>
      </c>
      <c r="AF15">
        <f t="shared" si="4"/>
        <v>4.0101525867496504</v>
      </c>
      <c r="AG15">
        <f t="shared" si="4"/>
        <v>4.2031602160871335</v>
      </c>
      <c r="AH15">
        <f t="shared" si="4"/>
        <v>4.4058182268914905</v>
      </c>
      <c r="AI15">
        <f t="shared" si="4"/>
        <v>4.6186091382360646</v>
      </c>
      <c r="AJ15">
        <f t="shared" si="4"/>
        <v>4.8420395951478685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45"/>
  <sheetViews>
    <sheetView topLeftCell="A16" workbookViewId="0">
      <selection activeCell="C33" sqref="C33"/>
    </sheetView>
  </sheetViews>
  <sheetFormatPr defaultRowHeight="15" x14ac:dyDescent="0.25"/>
  <cols>
    <col min="1" max="1" width="35" bestFit="1" customWidth="1"/>
  </cols>
  <sheetData>
    <row r="1" spans="1:4" x14ac:dyDescent="0.25">
      <c r="A1" s="55" t="s">
        <v>1635</v>
      </c>
      <c r="B1" s="55"/>
    </row>
    <row r="2" spans="1:4" x14ac:dyDescent="0.25">
      <c r="A2" t="s">
        <v>1636</v>
      </c>
      <c r="B2" s="95">
        <v>0.11</v>
      </c>
    </row>
    <row r="3" spans="1:4" x14ac:dyDescent="0.25">
      <c r="A3" t="s">
        <v>1637</v>
      </c>
      <c r="B3" s="95">
        <f>1-B2</f>
        <v>0.89</v>
      </c>
    </row>
    <row r="5" spans="1:4" x14ac:dyDescent="0.25">
      <c r="A5" s="55" t="s">
        <v>1629</v>
      </c>
      <c r="B5" s="55"/>
    </row>
    <row r="6" spans="1:4" x14ac:dyDescent="0.25">
      <c r="A6" t="s">
        <v>1615</v>
      </c>
      <c r="B6" s="2">
        <v>642000</v>
      </c>
      <c r="C6" t="s">
        <v>1613</v>
      </c>
      <c r="D6" s="3" t="s">
        <v>1614</v>
      </c>
    </row>
    <row r="7" spans="1:4" x14ac:dyDescent="0.25">
      <c r="A7" t="s">
        <v>1616</v>
      </c>
      <c r="B7" s="2">
        <f>B6*0.66</f>
        <v>423720</v>
      </c>
    </row>
    <row r="8" spans="1:4" x14ac:dyDescent="0.25">
      <c r="A8" t="s">
        <v>1617</v>
      </c>
      <c r="B8" s="2">
        <f>B7*0.11</f>
        <v>46609.2</v>
      </c>
      <c r="C8" t="s">
        <v>1620</v>
      </c>
    </row>
    <row r="9" spans="1:4" x14ac:dyDescent="0.25">
      <c r="A9" t="s">
        <v>1618</v>
      </c>
      <c r="B9" s="2">
        <f>B7-B8</f>
        <v>377110.8</v>
      </c>
      <c r="C9" t="s">
        <v>1620</v>
      </c>
    </row>
    <row r="10" spans="1:4" x14ac:dyDescent="0.25">
      <c r="A10" t="s">
        <v>1619</v>
      </c>
      <c r="B10" s="2">
        <f>B6-B7</f>
        <v>218280</v>
      </c>
      <c r="C10" t="s">
        <v>1621</v>
      </c>
    </row>
    <row r="11" spans="1:4" x14ac:dyDescent="0.25">
      <c r="A11" t="s">
        <v>1627</v>
      </c>
      <c r="B11" s="2">
        <f>B8/B7*B10</f>
        <v>24010.799999999996</v>
      </c>
    </row>
    <row r="12" spans="1:4" x14ac:dyDescent="0.25">
      <c r="A12" t="s">
        <v>1628</v>
      </c>
      <c r="B12" s="2">
        <f>B9/B7*B10</f>
        <v>194269.2</v>
      </c>
    </row>
    <row r="15" spans="1:4" x14ac:dyDescent="0.25">
      <c r="A15" s="55" t="s">
        <v>1630</v>
      </c>
      <c r="B15" s="55"/>
    </row>
    <row r="16" spans="1:4" x14ac:dyDescent="0.25">
      <c r="A16" t="s">
        <v>1631</v>
      </c>
      <c r="B16" s="66">
        <f>0.2</f>
        <v>0.2</v>
      </c>
    </row>
    <row r="17" spans="1:37" x14ac:dyDescent="0.25">
      <c r="A17" t="s">
        <v>1616</v>
      </c>
      <c r="B17" s="66">
        <f>B16-B20</f>
        <v>0.12002220800000001</v>
      </c>
    </row>
    <row r="18" spans="1:37" x14ac:dyDescent="0.25">
      <c r="A18" t="s">
        <v>1617</v>
      </c>
      <c r="B18" s="66">
        <f>B2*B17</f>
        <v>1.320244288E-2</v>
      </c>
    </row>
    <row r="19" spans="1:37" x14ac:dyDescent="0.25">
      <c r="A19" t="s">
        <v>1618</v>
      </c>
      <c r="B19" s="66">
        <f>B3*B17</f>
        <v>0.10681976512000001</v>
      </c>
    </row>
    <row r="20" spans="1:37" x14ac:dyDescent="0.25">
      <c r="A20" t="s">
        <v>1632</v>
      </c>
      <c r="B20" s="66">
        <f>SUM(B21:B22)</f>
        <v>7.9977792000000006E-2</v>
      </c>
    </row>
    <row r="21" spans="1:37" x14ac:dyDescent="0.25">
      <c r="A21" t="s">
        <v>1627</v>
      </c>
      <c r="B21" s="66">
        <f>B11*0.58/10^6</f>
        <v>1.3926263999999997E-2</v>
      </c>
    </row>
    <row r="22" spans="1:37" x14ac:dyDescent="0.25">
      <c r="A22" t="s">
        <v>1628</v>
      </c>
      <c r="B22" s="66">
        <f>B12*0.34/10^6</f>
        <v>6.6051528000000012E-2</v>
      </c>
    </row>
    <row r="24" spans="1:37" x14ac:dyDescent="0.25">
      <c r="A24" s="55" t="s">
        <v>1622</v>
      </c>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row>
    <row r="25" spans="1:37" x14ac:dyDescent="0.25">
      <c r="B25">
        <v>2015</v>
      </c>
      <c r="C25">
        <v>2016</v>
      </c>
      <c r="D25">
        <v>2017</v>
      </c>
      <c r="E25">
        <v>2018</v>
      </c>
      <c r="F25">
        <v>2019</v>
      </c>
      <c r="G25">
        <v>2020</v>
      </c>
      <c r="H25">
        <v>2021</v>
      </c>
      <c r="I25">
        <v>2022</v>
      </c>
      <c r="J25">
        <v>2023</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row>
    <row r="26" spans="1:37" x14ac:dyDescent="0.25">
      <c r="A26" t="s">
        <v>1623</v>
      </c>
      <c r="B26" s="2">
        <f>B8</f>
        <v>46609.2</v>
      </c>
      <c r="C26" s="2">
        <f>B26*(1-0.017)</f>
        <v>45816.843599999993</v>
      </c>
      <c r="D26" s="2">
        <f>C26*(1-0.017)</f>
        <v>45037.957258799994</v>
      </c>
      <c r="E26" s="2">
        <f t="shared" ref="E26:AK26" si="0">D26*(1-0.017)</f>
        <v>44272.311985400396</v>
      </c>
      <c r="F26" s="2">
        <f t="shared" si="0"/>
        <v>43519.682681648592</v>
      </c>
      <c r="G26" s="2">
        <f t="shared" si="0"/>
        <v>42779.848076060567</v>
      </c>
      <c r="H26" s="2">
        <f t="shared" si="0"/>
        <v>42052.590658767534</v>
      </c>
      <c r="I26" s="2">
        <f t="shared" si="0"/>
        <v>41337.696617568487</v>
      </c>
      <c r="J26" s="2">
        <f t="shared" si="0"/>
        <v>40634.955775069822</v>
      </c>
      <c r="K26" s="2">
        <f t="shared" si="0"/>
        <v>39944.161526893637</v>
      </c>
      <c r="L26" s="2">
        <f t="shared" si="0"/>
        <v>39265.110780936448</v>
      </c>
      <c r="M26" s="2">
        <f t="shared" si="0"/>
        <v>38597.603897660527</v>
      </c>
      <c r="N26" s="2">
        <f t="shared" si="0"/>
        <v>37941.4446314003</v>
      </c>
      <c r="O26" s="2">
        <f t="shared" si="0"/>
        <v>37296.440072666497</v>
      </c>
      <c r="P26" s="2">
        <f t="shared" si="0"/>
        <v>36662.400591431164</v>
      </c>
      <c r="Q26" s="2">
        <f t="shared" si="0"/>
        <v>36039.139781376834</v>
      </c>
      <c r="R26" s="2">
        <f t="shared" si="0"/>
        <v>35426.474405093424</v>
      </c>
      <c r="S26" s="2">
        <f t="shared" si="0"/>
        <v>34824.224340206834</v>
      </c>
      <c r="T26" s="2">
        <f t="shared" si="0"/>
        <v>34232.212526423318</v>
      </c>
      <c r="U26" s="2">
        <f t="shared" si="0"/>
        <v>33650.264913474122</v>
      </c>
      <c r="V26" s="2">
        <f t="shared" si="0"/>
        <v>33078.210409945059</v>
      </c>
      <c r="W26" s="2">
        <f t="shared" si="0"/>
        <v>32515.880832975992</v>
      </c>
      <c r="X26" s="2">
        <f t="shared" si="0"/>
        <v>31963.110858815398</v>
      </c>
      <c r="Y26" s="2">
        <f t="shared" si="0"/>
        <v>31419.737974215535</v>
      </c>
      <c r="Z26" s="2">
        <f t="shared" si="0"/>
        <v>30885.60242865387</v>
      </c>
      <c r="AA26" s="2">
        <f t="shared" si="0"/>
        <v>30360.547187366756</v>
      </c>
      <c r="AB26" s="2">
        <f t="shared" si="0"/>
        <v>29844.41788518152</v>
      </c>
      <c r="AC26" s="2">
        <f t="shared" si="0"/>
        <v>29337.062781133434</v>
      </c>
      <c r="AD26" s="2">
        <f t="shared" si="0"/>
        <v>28838.332713854164</v>
      </c>
      <c r="AE26" s="2">
        <f t="shared" si="0"/>
        <v>28348.081057718642</v>
      </c>
      <c r="AF26" s="2">
        <f t="shared" si="0"/>
        <v>27866.163679737423</v>
      </c>
      <c r="AG26" s="2">
        <f t="shared" si="0"/>
        <v>27392.438897181888</v>
      </c>
      <c r="AH26" s="2">
        <f t="shared" si="0"/>
        <v>26926.767435929796</v>
      </c>
      <c r="AI26" s="2">
        <f t="shared" si="0"/>
        <v>26469.01238951899</v>
      </c>
      <c r="AJ26" s="2">
        <f t="shared" si="0"/>
        <v>26019.039178897168</v>
      </c>
      <c r="AK26" s="2">
        <f t="shared" si="0"/>
        <v>25576.715512855917</v>
      </c>
    </row>
    <row r="27" spans="1:37" x14ac:dyDescent="0.25">
      <c r="A27" t="s">
        <v>1624</v>
      </c>
      <c r="B27" s="2">
        <f>B9</f>
        <v>377110.8</v>
      </c>
      <c r="C27" s="2">
        <f>B27*(1+0.032)</f>
        <v>389178.3456</v>
      </c>
      <c r="D27" s="2">
        <f>C27*(1+0.032)</f>
        <v>401632.05265920004</v>
      </c>
      <c r="E27" s="2">
        <f t="shared" ref="E27:AK27" si="1">D27*(1+0.032)</f>
        <v>414484.27834429446</v>
      </c>
      <c r="F27" s="2">
        <f t="shared" si="1"/>
        <v>427747.77525131189</v>
      </c>
      <c r="G27" s="2">
        <f t="shared" si="1"/>
        <v>441435.70405935385</v>
      </c>
      <c r="H27" s="2">
        <f t="shared" si="1"/>
        <v>455561.64658925321</v>
      </c>
      <c r="I27" s="2">
        <f t="shared" si="1"/>
        <v>470139.61928010936</v>
      </c>
      <c r="J27" s="2">
        <f t="shared" si="1"/>
        <v>485184.08709707286</v>
      </c>
      <c r="K27" s="2">
        <f t="shared" si="1"/>
        <v>500709.97788417921</v>
      </c>
      <c r="L27" s="2">
        <f t="shared" si="1"/>
        <v>516732.69717647298</v>
      </c>
      <c r="M27" s="2">
        <f t="shared" si="1"/>
        <v>533268.14348612016</v>
      </c>
      <c r="N27" s="2">
        <f t="shared" si="1"/>
        <v>550332.72407767607</v>
      </c>
      <c r="O27" s="2">
        <f t="shared" si="1"/>
        <v>567943.37124816177</v>
      </c>
      <c r="P27" s="2">
        <f t="shared" si="1"/>
        <v>586117.55912810296</v>
      </c>
      <c r="Q27" s="2">
        <f t="shared" si="1"/>
        <v>604873.32102020225</v>
      </c>
      <c r="R27" s="2">
        <f t="shared" si="1"/>
        <v>624229.26729284879</v>
      </c>
      <c r="S27" s="2">
        <f t="shared" si="1"/>
        <v>644204.60384621995</v>
      </c>
      <c r="T27" s="2">
        <f t="shared" si="1"/>
        <v>664819.15116929903</v>
      </c>
      <c r="U27" s="2">
        <f t="shared" si="1"/>
        <v>686093.36400671664</v>
      </c>
      <c r="V27" s="2">
        <f t="shared" si="1"/>
        <v>708048.35165493155</v>
      </c>
      <c r="W27" s="2">
        <f t="shared" si="1"/>
        <v>730705.89890788938</v>
      </c>
      <c r="X27" s="2">
        <f t="shared" si="1"/>
        <v>754088.48767294188</v>
      </c>
      <c r="Y27" s="2">
        <f t="shared" si="1"/>
        <v>778219.31927847606</v>
      </c>
      <c r="Z27" s="2">
        <f t="shared" si="1"/>
        <v>803122.3374953873</v>
      </c>
      <c r="AA27" s="2">
        <f t="shared" si="1"/>
        <v>828822.25229523971</v>
      </c>
      <c r="AB27" s="2">
        <f t="shared" si="1"/>
        <v>855344.56436868745</v>
      </c>
      <c r="AC27" s="2">
        <f t="shared" si="1"/>
        <v>882715.59042848542</v>
      </c>
      <c r="AD27" s="2">
        <f t="shared" si="1"/>
        <v>910962.48932219693</v>
      </c>
      <c r="AE27" s="2">
        <f t="shared" si="1"/>
        <v>940113.28898050729</v>
      </c>
      <c r="AF27" s="2">
        <f t="shared" si="1"/>
        <v>970196.91422788356</v>
      </c>
      <c r="AG27" s="2">
        <f t="shared" si="1"/>
        <v>1001243.2154831758</v>
      </c>
      <c r="AH27" s="2">
        <f t="shared" si="1"/>
        <v>1033282.9983786375</v>
      </c>
      <c r="AI27" s="2">
        <f t="shared" si="1"/>
        <v>1066348.0543267538</v>
      </c>
      <c r="AJ27" s="2">
        <f t="shared" si="1"/>
        <v>1100471.1920652101</v>
      </c>
      <c r="AK27" s="2">
        <f t="shared" si="1"/>
        <v>1135686.2702112969</v>
      </c>
    </row>
    <row r="28" spans="1:37" x14ac:dyDescent="0.25">
      <c r="A28" t="s">
        <v>1625</v>
      </c>
      <c r="B28" s="2">
        <f>B11</f>
        <v>24010.799999999996</v>
      </c>
      <c r="C28" s="2">
        <f>B28*(1+0.064)</f>
        <v>25547.491199999997</v>
      </c>
      <c r="D28" s="2">
        <f>C28*(1+0.064)</f>
        <v>27182.530636799998</v>
      </c>
      <c r="E28" s="2">
        <f t="shared" ref="E28:AK28" si="2">D28*(1+0.064)</f>
        <v>28922.212597555201</v>
      </c>
      <c r="F28" s="2">
        <f t="shared" si="2"/>
        <v>30773.234203798736</v>
      </c>
      <c r="G28" s="2">
        <f t="shared" si="2"/>
        <v>32742.721192841858</v>
      </c>
      <c r="H28" s="2">
        <f t="shared" si="2"/>
        <v>34838.255349183739</v>
      </c>
      <c r="I28" s="2">
        <f t="shared" si="2"/>
        <v>37067.903691531501</v>
      </c>
      <c r="J28" s="2">
        <f t="shared" si="2"/>
        <v>39440.249527789521</v>
      </c>
      <c r="K28" s="2">
        <f t="shared" si="2"/>
        <v>41964.425497568052</v>
      </c>
      <c r="L28" s="2">
        <f t="shared" si="2"/>
        <v>44650.148729412409</v>
      </c>
      <c r="M28" s="2">
        <f t="shared" si="2"/>
        <v>47507.758248094804</v>
      </c>
      <c r="N28" s="2">
        <f t="shared" si="2"/>
        <v>50548.254775972877</v>
      </c>
      <c r="O28" s="2">
        <f t="shared" si="2"/>
        <v>53783.343081635147</v>
      </c>
      <c r="P28" s="2">
        <f t="shared" si="2"/>
        <v>57225.477038859797</v>
      </c>
      <c r="Q28" s="2">
        <f t="shared" si="2"/>
        <v>60887.907569346826</v>
      </c>
      <c r="R28" s="2">
        <f t="shared" si="2"/>
        <v>64784.733653785028</v>
      </c>
      <c r="S28" s="2">
        <f t="shared" si="2"/>
        <v>68930.956607627275</v>
      </c>
      <c r="T28" s="2">
        <f t="shared" si="2"/>
        <v>73342.53783051543</v>
      </c>
      <c r="U28" s="2">
        <f t="shared" si="2"/>
        <v>78036.460251668424</v>
      </c>
      <c r="V28" s="2">
        <f t="shared" si="2"/>
        <v>83030.793707775214</v>
      </c>
      <c r="W28" s="2">
        <f t="shared" si="2"/>
        <v>88344.764505072832</v>
      </c>
      <c r="X28" s="2">
        <f t="shared" si="2"/>
        <v>93998.829433397492</v>
      </c>
      <c r="Y28" s="2">
        <f t="shared" si="2"/>
        <v>100014.75451713493</v>
      </c>
      <c r="Z28" s="2">
        <f t="shared" si="2"/>
        <v>106415.69880623158</v>
      </c>
      <c r="AA28" s="2">
        <f t="shared" si="2"/>
        <v>113226.3035298304</v>
      </c>
      <c r="AB28" s="2">
        <f t="shared" si="2"/>
        <v>120472.78695573956</v>
      </c>
      <c r="AC28" s="2">
        <f t="shared" si="2"/>
        <v>128183.04532090689</v>
      </c>
      <c r="AD28" s="2">
        <f t="shared" si="2"/>
        <v>136386.76022144494</v>
      </c>
      <c r="AE28" s="2">
        <f t="shared" si="2"/>
        <v>145115.51287561742</v>
      </c>
      <c r="AF28" s="2">
        <f t="shared" si="2"/>
        <v>154402.90569965696</v>
      </c>
      <c r="AG28" s="2">
        <f t="shared" si="2"/>
        <v>164284.691664435</v>
      </c>
      <c r="AH28" s="2">
        <f t="shared" si="2"/>
        <v>174798.91193095886</v>
      </c>
      <c r="AI28" s="2">
        <f t="shared" si="2"/>
        <v>185986.04229454024</v>
      </c>
      <c r="AJ28" s="2">
        <f t="shared" si="2"/>
        <v>197889.14900139082</v>
      </c>
      <c r="AK28" s="2">
        <f t="shared" si="2"/>
        <v>210554.05453747985</v>
      </c>
    </row>
    <row r="29" spans="1:37" x14ac:dyDescent="0.25">
      <c r="A29" t="s">
        <v>1626</v>
      </c>
      <c r="B29" s="2">
        <f>B12</f>
        <v>194269.2</v>
      </c>
      <c r="C29" s="2">
        <f>B29*(1+0.006)</f>
        <v>195434.81520000001</v>
      </c>
      <c r="D29" s="2">
        <f>C29*(1+0.006)</f>
        <v>196607.42409120002</v>
      </c>
      <c r="E29" s="2">
        <f t="shared" ref="E29:AK29" si="3">D29*(1+0.006)</f>
        <v>197787.06863574722</v>
      </c>
      <c r="F29" s="2">
        <f t="shared" si="3"/>
        <v>198973.79104756171</v>
      </c>
      <c r="G29" s="2">
        <f t="shared" si="3"/>
        <v>200167.63379384708</v>
      </c>
      <c r="H29" s="2">
        <f t="shared" si="3"/>
        <v>201368.63959661016</v>
      </c>
      <c r="I29" s="2">
        <f t="shared" si="3"/>
        <v>202576.85143418983</v>
      </c>
      <c r="J29" s="2">
        <f t="shared" si="3"/>
        <v>203792.31254279497</v>
      </c>
      <c r="K29" s="2">
        <f t="shared" si="3"/>
        <v>205015.06641805175</v>
      </c>
      <c r="L29" s="2">
        <f t="shared" si="3"/>
        <v>206245.15681656005</v>
      </c>
      <c r="M29" s="2">
        <f t="shared" si="3"/>
        <v>207482.62775745941</v>
      </c>
      <c r="N29" s="2">
        <f t="shared" si="3"/>
        <v>208727.52352400418</v>
      </c>
      <c r="O29" s="2">
        <f t="shared" si="3"/>
        <v>209979.8886651482</v>
      </c>
      <c r="P29" s="2">
        <f t="shared" si="3"/>
        <v>211239.7679971391</v>
      </c>
      <c r="Q29" s="2">
        <f t="shared" si="3"/>
        <v>212507.20660512193</v>
      </c>
      <c r="R29" s="2">
        <f t="shared" si="3"/>
        <v>213782.24984475266</v>
      </c>
      <c r="S29" s="2">
        <f t="shared" si="3"/>
        <v>215064.94334382119</v>
      </c>
      <c r="T29" s="2">
        <f t="shared" si="3"/>
        <v>216355.33300388412</v>
      </c>
      <c r="U29" s="2">
        <f t="shared" si="3"/>
        <v>217653.46500190743</v>
      </c>
      <c r="V29" s="2">
        <f t="shared" si="3"/>
        <v>218959.38579191887</v>
      </c>
      <c r="W29" s="2">
        <f t="shared" si="3"/>
        <v>220273.14210667039</v>
      </c>
      <c r="X29" s="2">
        <f t="shared" si="3"/>
        <v>221594.78095931042</v>
      </c>
      <c r="Y29" s="2">
        <f t="shared" si="3"/>
        <v>222924.34964506628</v>
      </c>
      <c r="Z29" s="2">
        <f t="shared" si="3"/>
        <v>224261.89574293667</v>
      </c>
      <c r="AA29" s="2">
        <f t="shared" si="3"/>
        <v>225607.46711739429</v>
      </c>
      <c r="AB29" s="2">
        <f t="shared" si="3"/>
        <v>226961.11192009866</v>
      </c>
      <c r="AC29" s="2">
        <f t="shared" si="3"/>
        <v>228322.87859161926</v>
      </c>
      <c r="AD29" s="2">
        <f t="shared" si="3"/>
        <v>229692.81586316897</v>
      </c>
      <c r="AE29" s="2">
        <f t="shared" si="3"/>
        <v>231070.97275834798</v>
      </c>
      <c r="AF29" s="2">
        <f t="shared" si="3"/>
        <v>232457.39859489808</v>
      </c>
      <c r="AG29" s="2">
        <f t="shared" si="3"/>
        <v>233852.14298646749</v>
      </c>
      <c r="AH29" s="2">
        <f t="shared" si="3"/>
        <v>235255.25584438629</v>
      </c>
      <c r="AI29" s="2">
        <f t="shared" si="3"/>
        <v>236666.78737945261</v>
      </c>
      <c r="AJ29" s="2">
        <f t="shared" si="3"/>
        <v>238086.78810372931</v>
      </c>
      <c r="AK29" s="2">
        <f t="shared" si="3"/>
        <v>239515.3088323517</v>
      </c>
    </row>
    <row r="31" spans="1:37" x14ac:dyDescent="0.25">
      <c r="A31" s="55" t="s">
        <v>555</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row>
    <row r="32" spans="1:37" x14ac:dyDescent="0.25">
      <c r="A32" t="s">
        <v>1633</v>
      </c>
      <c r="B32">
        <v>2015</v>
      </c>
      <c r="C32">
        <v>2016</v>
      </c>
      <c r="D32">
        <v>2017</v>
      </c>
      <c r="E32">
        <v>2018</v>
      </c>
      <c r="F32">
        <v>2019</v>
      </c>
      <c r="G32">
        <v>2020</v>
      </c>
      <c r="H32">
        <v>2021</v>
      </c>
      <c r="I32">
        <v>2022</v>
      </c>
      <c r="J32">
        <v>2023</v>
      </c>
      <c r="K32">
        <v>2024</v>
      </c>
      <c r="L32">
        <v>2025</v>
      </c>
      <c r="M32">
        <v>2026</v>
      </c>
      <c r="N32">
        <v>2027</v>
      </c>
      <c r="O32">
        <v>2028</v>
      </c>
      <c r="P32">
        <v>2029</v>
      </c>
      <c r="Q32">
        <v>2030</v>
      </c>
      <c r="R32">
        <v>2031</v>
      </c>
      <c r="S32">
        <v>2032</v>
      </c>
      <c r="T32">
        <v>2033</v>
      </c>
      <c r="U32">
        <v>2034</v>
      </c>
      <c r="V32">
        <v>2035</v>
      </c>
      <c r="W32">
        <v>2036</v>
      </c>
      <c r="X32">
        <v>2037</v>
      </c>
      <c r="Y32">
        <v>2038</v>
      </c>
      <c r="Z32">
        <v>2039</v>
      </c>
      <c r="AA32">
        <v>2040</v>
      </c>
      <c r="AB32">
        <v>2041</v>
      </c>
      <c r="AC32">
        <v>2042</v>
      </c>
      <c r="AD32">
        <v>2043</v>
      </c>
      <c r="AE32">
        <v>2044</v>
      </c>
      <c r="AF32">
        <v>2045</v>
      </c>
      <c r="AG32">
        <v>2046</v>
      </c>
      <c r="AH32">
        <v>2047</v>
      </c>
      <c r="AI32">
        <v>2048</v>
      </c>
      <c r="AJ32">
        <v>2049</v>
      </c>
      <c r="AK32">
        <v>2050</v>
      </c>
    </row>
    <row r="33" spans="1:37" x14ac:dyDescent="0.25">
      <c r="A33" t="s">
        <v>1623</v>
      </c>
      <c r="B33" s="102">
        <f>B18</f>
        <v>1.320244288E-2</v>
      </c>
      <c r="C33" s="66">
        <f>C26*$B$18/$B$8*(1-0.064)^(C32-$B$32)</f>
        <v>1.2147409264573437E-2</v>
      </c>
      <c r="D33" s="66">
        <f>D26*$B$18/$B$8*(1-0.064)^(D32-$B$32)</f>
        <v>1.1176685495422846E-2</v>
      </c>
      <c r="E33" s="66">
        <f t="shared" ref="E33:AK33" si="4">E26*$B$18/$B$8*(1-0.064)^(E32-$B$32)</f>
        <v>1.0283534204112616E-2</v>
      </c>
      <c r="F33" s="66">
        <f t="shared" si="4"/>
        <v>9.4617564187935675E-3</v>
      </c>
      <c r="G33" s="66">
        <f t="shared" si="4"/>
        <v>8.7056485398549349E-3</v>
      </c>
      <c r="H33" s="66">
        <f t="shared" si="4"/>
        <v>8.0099627537380466E-3</v>
      </c>
      <c r="I33" s="66">
        <f t="shared" si="4"/>
        <v>7.3698706101613309E-3</v>
      </c>
      <c r="J33" s="66">
        <f t="shared" si="4"/>
        <v>6.7809295099621174E-3</v>
      </c>
      <c r="K33" s="66">
        <f t="shared" si="4"/>
        <v>6.2390518709620245E-3</v>
      </c>
      <c r="L33" s="66">
        <f t="shared" si="4"/>
        <v>5.740476757849707E-3</v>
      </c>
      <c r="M33" s="66">
        <f t="shared" si="4"/>
        <v>5.2817437791764215E-3</v>
      </c>
      <c r="N33" s="66">
        <f t="shared" si="4"/>
        <v>4.8596690702948746E-3</v>
      </c>
      <c r="O33" s="66">
        <f t="shared" si="4"/>
        <v>4.47132319554947E-3</v>
      </c>
      <c r="P33" s="66">
        <f t="shared" si="4"/>
        <v>4.1140108163467207E-3</v>
      </c>
      <c r="Q33" s="66">
        <f t="shared" si="4"/>
        <v>3.7852519839908214E-3</v>
      </c>
      <c r="R33" s="66">
        <f t="shared" si="4"/>
        <v>3.4827649274461457E-3</v>
      </c>
      <c r="S33" s="66">
        <f t="shared" si="4"/>
        <v>3.2044502165640689E-3</v>
      </c>
      <c r="T33" s="66">
        <f t="shared" si="4"/>
        <v>2.9483761908580004E-3</v>
      </c>
      <c r="U33" s="66">
        <f t="shared" si="4"/>
        <v>2.7127655526941559E-3</v>
      </c>
      <c r="V33" s="66">
        <f t="shared" si="4"/>
        <v>2.4959830318472603E-3</v>
      </c>
      <c r="W33" s="66">
        <f t="shared" si="4"/>
        <v>2.2965240358062814E-3</v>
      </c>
      <c r="X33" s="66">
        <f t="shared" si="4"/>
        <v>2.1130042070569297E-3</v>
      </c>
      <c r="Y33" s="66">
        <f t="shared" si="4"/>
        <v>1.9441498148625961E-3</v>
      </c>
      <c r="Z33" s="66">
        <f t="shared" si="4"/>
        <v>1.788788914857296E-3</v>
      </c>
      <c r="AA33" s="66">
        <f t="shared" si="4"/>
        <v>1.6458432150932198E-3</v>
      </c>
      <c r="AB33" s="66">
        <f t="shared" si="4"/>
        <v>1.5143205920886903E-3</v>
      </c>
      <c r="AC33" s="66">
        <f t="shared" si="4"/>
        <v>1.3933082049336989E-3</v>
      </c>
      <c r="AD33" s="66">
        <f t="shared" si="4"/>
        <v>1.2819661596610368E-3</v>
      </c>
      <c r="AE33" s="66">
        <f t="shared" si="4"/>
        <v>1.1795216799102039E-3</v>
      </c>
      <c r="AF33" s="66">
        <f t="shared" si="4"/>
        <v>1.0852637434252195E-3</v>
      </c>
      <c r="AG33" s="66">
        <f t="shared" si="4"/>
        <v>9.9853814716062352E-4</v>
      </c>
      <c r="AH33" s="66">
        <f t="shared" si="4"/>
        <v>9.1874296674472351E-4</v>
      </c>
      <c r="AI33" s="66">
        <f t="shared" si="4"/>
        <v>8.4532437878621892E-4</v>
      </c>
      <c r="AJ33" s="66">
        <f t="shared" si="4"/>
        <v>7.7777281702865462E-4</v>
      </c>
      <c r="AK33" s="66">
        <f t="shared" si="4"/>
        <v>7.156194356742609E-4</v>
      </c>
    </row>
    <row r="34" spans="1:37" x14ac:dyDescent="0.25">
      <c r="A34" t="s">
        <v>1624</v>
      </c>
      <c r="B34" s="102">
        <f>B19</f>
        <v>0.10681976512000001</v>
      </c>
      <c r="C34" s="66">
        <f>C27*$B$19/$B$9*(1-0.064)^(C32-$B$32)</f>
        <v>0.10318276575719426</v>
      </c>
      <c r="D34" s="66">
        <f>D27*$B$19/$B$9*(1-0.064)^(D32-$B$32)</f>
        <v>9.9669598948693289E-2</v>
      </c>
      <c r="E34" s="66">
        <f t="shared" ref="E34:AK34" si="5">E27*$B$19/$B$9*(1-0.064)^(E32-$B$32)</f>
        <v>9.6276048443688186E-2</v>
      </c>
      <c r="F34" s="66">
        <f t="shared" si="5"/>
        <v>9.2998041546277485E-2</v>
      </c>
      <c r="G34" s="66">
        <f t="shared" si="5"/>
        <v>8.9831644227709798E-2</v>
      </c>
      <c r="H34" s="66">
        <f t="shared" si="5"/>
        <v>8.6773056405044749E-2</v>
      </c>
      <c r="I34" s="66">
        <f t="shared" si="5"/>
        <v>8.3818607380565804E-2</v>
      </c>
      <c r="J34" s="66">
        <f t="shared" si="5"/>
        <v>8.0964751436472276E-2</v>
      </c>
      <c r="K34" s="66">
        <f t="shared" si="5"/>
        <v>7.8208063579563267E-2</v>
      </c>
      <c r="L34" s="66">
        <f t="shared" si="5"/>
        <v>7.5545235430806296E-2</v>
      </c>
      <c r="M34" s="66">
        <f t="shared" si="5"/>
        <v>7.2973071254858204E-2</v>
      </c>
      <c r="N34" s="66">
        <f t="shared" si="5"/>
        <v>7.0488484124772779E-2</v>
      </c>
      <c r="O34" s="66">
        <f t="shared" si="5"/>
        <v>6.8088492217292532E-2</v>
      </c>
      <c r="P34" s="66">
        <f t="shared" si="5"/>
        <v>6.5770215234278145E-2</v>
      </c>
      <c r="Q34" s="66">
        <f t="shared" si="5"/>
        <v>6.3530870945981435E-2</v>
      </c>
      <c r="R34" s="66">
        <f t="shared" si="5"/>
        <v>6.1367771852012656E-2</v>
      </c>
      <c r="S34" s="66">
        <f t="shared" si="5"/>
        <v>5.9278321955995333E-2</v>
      </c>
      <c r="T34" s="66">
        <f t="shared" si="5"/>
        <v>5.7260013650037592E-2</v>
      </c>
      <c r="U34" s="66">
        <f t="shared" si="5"/>
        <v>5.5310424705281122E-2</v>
      </c>
      <c r="V34" s="66">
        <f t="shared" si="5"/>
        <v>5.3427215364915702E-2</v>
      </c>
      <c r="W34" s="66">
        <f t="shared" si="5"/>
        <v>5.1608125536171043E-2</v>
      </c>
      <c r="X34" s="66">
        <f t="shared" si="5"/>
        <v>4.9850972077915494E-2</v>
      </c>
      <c r="Y34" s="66">
        <f t="shared" si="5"/>
        <v>4.8153646180606635E-2</v>
      </c>
      <c r="Z34" s="66">
        <f t="shared" si="5"/>
        <v>4.6514110835449325E-2</v>
      </c>
      <c r="AA34" s="66">
        <f t="shared" si="5"/>
        <v>4.4930398389723944E-2</v>
      </c>
      <c r="AB34" s="66">
        <f t="shared" si="5"/>
        <v>4.3400608185350624E-2</v>
      </c>
      <c r="AC34" s="66">
        <f t="shared" si="5"/>
        <v>4.1922904277855798E-2</v>
      </c>
      <c r="AD34" s="66">
        <f t="shared" si="5"/>
        <v>4.0495513233003363E-2</v>
      </c>
      <c r="AE34" s="66">
        <f t="shared" si="5"/>
        <v>3.9116721998446062E-2</v>
      </c>
      <c r="AF34" s="66">
        <f t="shared" si="5"/>
        <v>3.7784875847842972E-2</v>
      </c>
      <c r="AG34" s="66">
        <f t="shared" si="5"/>
        <v>3.6498376394975614E-2</v>
      </c>
      <c r="AH34" s="66">
        <f t="shared" si="5"/>
        <v>3.5255679675479476E-2</v>
      </c>
      <c r="AI34" s="66">
        <f t="shared" si="5"/>
        <v>3.4055294293888747E-2</v>
      </c>
      <c r="AJ34" s="66">
        <f t="shared" si="5"/>
        <v>3.2895779633770418E-2</v>
      </c>
      <c r="AK34" s="66">
        <f t="shared" si="5"/>
        <v>3.1775744128799806E-2</v>
      </c>
    </row>
    <row r="35" spans="1:37" x14ac:dyDescent="0.25">
      <c r="A35" t="s">
        <v>1625</v>
      </c>
      <c r="B35" s="102">
        <f>B21</f>
        <v>1.3926263999999997E-2</v>
      </c>
      <c r="C35" s="66">
        <f>C28*0.58/10^6</f>
        <v>1.4817544895999998E-2</v>
      </c>
      <c r="D35" s="66">
        <f>D28*0.58/10^6</f>
        <v>1.5765867769343998E-2</v>
      </c>
      <c r="E35" s="66">
        <f t="shared" ref="E35:AK35" si="6">E28*0.58/10^6</f>
        <v>1.6774883306582014E-2</v>
      </c>
      <c r="F35" s="66">
        <f t="shared" si="6"/>
        <v>1.7848475838203266E-2</v>
      </c>
      <c r="G35" s="66">
        <f t="shared" si="6"/>
        <v>1.8990778291848278E-2</v>
      </c>
      <c r="H35" s="66">
        <f t="shared" si="6"/>
        <v>2.0206188102526567E-2</v>
      </c>
      <c r="I35" s="66">
        <f t="shared" si="6"/>
        <v>2.1499384141088269E-2</v>
      </c>
      <c r="J35" s="66">
        <f t="shared" si="6"/>
        <v>2.2875344726117922E-2</v>
      </c>
      <c r="K35" s="66">
        <f t="shared" si="6"/>
        <v>2.4339366788589469E-2</v>
      </c>
      <c r="L35" s="66">
        <f t="shared" si="6"/>
        <v>2.5897086263059196E-2</v>
      </c>
      <c r="M35" s="66">
        <f t="shared" si="6"/>
        <v>2.7554499783894987E-2</v>
      </c>
      <c r="N35" s="66">
        <f t="shared" si="6"/>
        <v>2.931798777006427E-2</v>
      </c>
      <c r="O35" s="66">
        <f t="shared" si="6"/>
        <v>3.1194338987348382E-2</v>
      </c>
      <c r="P35" s="66">
        <f t="shared" si="6"/>
        <v>3.3190776682538677E-2</v>
      </c>
      <c r="Q35" s="66">
        <f t="shared" si="6"/>
        <v>3.5314986390221161E-2</v>
      </c>
      <c r="R35" s="66">
        <f t="shared" si="6"/>
        <v>3.7575145519195316E-2</v>
      </c>
      <c r="S35" s="66">
        <f t="shared" si="6"/>
        <v>3.9979954832423822E-2</v>
      </c>
      <c r="T35" s="66">
        <f t="shared" si="6"/>
        <v>4.2538671941698941E-2</v>
      </c>
      <c r="U35" s="66">
        <f t="shared" si="6"/>
        <v>4.5261146945967681E-2</v>
      </c>
      <c r="V35" s="66">
        <f t="shared" si="6"/>
        <v>4.8157860350509618E-2</v>
      </c>
      <c r="W35" s="66">
        <f t="shared" si="6"/>
        <v>5.1239963412942242E-2</v>
      </c>
      <c r="X35" s="66">
        <f t="shared" si="6"/>
        <v>5.4519321071370544E-2</v>
      </c>
      <c r="Y35" s="66">
        <f t="shared" si="6"/>
        <v>5.8008557619938256E-2</v>
      </c>
      <c r="Z35" s="66">
        <f t="shared" si="6"/>
        <v>6.1721105307614314E-2</v>
      </c>
      <c r="AA35" s="66">
        <f t="shared" si="6"/>
        <v>6.5671256047301632E-2</v>
      </c>
      <c r="AB35" s="66">
        <f t="shared" si="6"/>
        <v>6.9874216434328937E-2</v>
      </c>
      <c r="AC35" s="66">
        <f t="shared" si="6"/>
        <v>7.4346166286126003E-2</v>
      </c>
      <c r="AD35" s="66">
        <f t="shared" si="6"/>
        <v>7.9104320928438054E-2</v>
      </c>
      <c r="AE35" s="66">
        <f t="shared" si="6"/>
        <v>8.4166997467858107E-2</v>
      </c>
      <c r="AF35" s="66">
        <f t="shared" si="6"/>
        <v>8.9553685305801031E-2</v>
      </c>
      <c r="AG35" s="66">
        <f t="shared" si="6"/>
        <v>9.5285121165372286E-2</v>
      </c>
      <c r="AH35" s="66">
        <f t="shared" si="6"/>
        <v>0.10138336891995614</v>
      </c>
      <c r="AI35" s="66">
        <f t="shared" si="6"/>
        <v>0.10787190453083333</v>
      </c>
      <c r="AJ35" s="66">
        <f t="shared" si="6"/>
        <v>0.11477570642080667</v>
      </c>
      <c r="AK35" s="66">
        <f t="shared" si="6"/>
        <v>0.1221213516317383</v>
      </c>
    </row>
    <row r="36" spans="1:37" x14ac:dyDescent="0.25">
      <c r="A36" t="s">
        <v>1626</v>
      </c>
      <c r="B36" s="102">
        <f>B22</f>
        <v>6.6051528000000012E-2</v>
      </c>
      <c r="C36" s="66">
        <f>C29*0.34/10^6</f>
        <v>6.6447837168000012E-2</v>
      </c>
      <c r="D36" s="66">
        <f>D29*0.34/10^6</f>
        <v>6.6846524191008005E-2</v>
      </c>
      <c r="E36" s="66">
        <f t="shared" ref="E36:AK36" si="7">E29*0.34/10^6</f>
        <v>6.7247603336154066E-2</v>
      </c>
      <c r="F36" s="66">
        <f t="shared" si="7"/>
        <v>6.7651088956170988E-2</v>
      </c>
      <c r="G36" s="66">
        <f t="shared" si="7"/>
        <v>6.8056995489908012E-2</v>
      </c>
      <c r="H36" s="66">
        <f t="shared" si="7"/>
        <v>6.8465337462847456E-2</v>
      </c>
      <c r="I36" s="66">
        <f t="shared" si="7"/>
        <v>6.8876129487624546E-2</v>
      </c>
      <c r="J36" s="66">
        <f t="shared" si="7"/>
        <v>6.9289386264550293E-2</v>
      </c>
      <c r="K36" s="66">
        <f t="shared" si="7"/>
        <v>6.9705122582137596E-2</v>
      </c>
      <c r="L36" s="66">
        <f t="shared" si="7"/>
        <v>7.0123353317630421E-2</v>
      </c>
      <c r="M36" s="66">
        <f t="shared" si="7"/>
        <v>7.0544093437536218E-2</v>
      </c>
      <c r="N36" s="66">
        <f t="shared" si="7"/>
        <v>7.0967357998161437E-2</v>
      </c>
      <c r="O36" s="66">
        <f t="shared" si="7"/>
        <v>7.1393162146150393E-2</v>
      </c>
      <c r="P36" s="66">
        <f t="shared" si="7"/>
        <v>7.1821521119027301E-2</v>
      </c>
      <c r="Q36" s="66">
        <f t="shared" si="7"/>
        <v>7.2252450245741465E-2</v>
      </c>
      <c r="R36" s="66">
        <f t="shared" si="7"/>
        <v>7.2685964947215909E-2</v>
      </c>
      <c r="S36" s="66">
        <f t="shared" si="7"/>
        <v>7.3122080736899214E-2</v>
      </c>
      <c r="T36" s="66">
        <f t="shared" si="7"/>
        <v>7.3560813221320617E-2</v>
      </c>
      <c r="U36" s="66">
        <f t="shared" si="7"/>
        <v>7.4002178100648519E-2</v>
      </c>
      <c r="V36" s="66">
        <f t="shared" si="7"/>
        <v>7.4446191169252413E-2</v>
      </c>
      <c r="W36" s="66">
        <f t="shared" si="7"/>
        <v>7.4892868316267944E-2</v>
      </c>
      <c r="X36" s="66">
        <f t="shared" si="7"/>
        <v>7.5342225526165554E-2</v>
      </c>
      <c r="Y36" s="66">
        <f t="shared" si="7"/>
        <v>7.5794278879322538E-2</v>
      </c>
      <c r="Z36" s="66">
        <f t="shared" si="7"/>
        <v>7.6249044552598469E-2</v>
      </c>
      <c r="AA36" s="66">
        <f t="shared" si="7"/>
        <v>7.6706538819914058E-2</v>
      </c>
      <c r="AB36" s="66">
        <f t="shared" si="7"/>
        <v>7.7166778052833548E-2</v>
      </c>
      <c r="AC36" s="66">
        <f t="shared" si="7"/>
        <v>7.7629778721150552E-2</v>
      </c>
      <c r="AD36" s="66">
        <f t="shared" si="7"/>
        <v>7.8095557393477455E-2</v>
      </c>
      <c r="AE36" s="66">
        <f t="shared" si="7"/>
        <v>7.8564130737838314E-2</v>
      </c>
      <c r="AF36" s="66">
        <f t="shared" si="7"/>
        <v>7.9035515522265357E-2</v>
      </c>
      <c r="AG36" s="66">
        <f t="shared" si="7"/>
        <v>7.9509728615398956E-2</v>
      </c>
      <c r="AH36" s="66">
        <f t="shared" si="7"/>
        <v>7.9986786987091343E-2</v>
      </c>
      <c r="AI36" s="66">
        <f t="shared" si="7"/>
        <v>8.0466707709013888E-2</v>
      </c>
      <c r="AJ36" s="66">
        <f t="shared" si="7"/>
        <v>8.0949507955267966E-2</v>
      </c>
      <c r="AK36" s="66">
        <f t="shared" si="7"/>
        <v>8.1435205002999583E-2</v>
      </c>
    </row>
    <row r="38" spans="1:37" x14ac:dyDescent="0.25">
      <c r="A38" s="55" t="s">
        <v>555</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row>
    <row r="39" spans="1:37" x14ac:dyDescent="0.25">
      <c r="A39" t="s">
        <v>1634</v>
      </c>
      <c r="B39">
        <v>2015</v>
      </c>
      <c r="C39">
        <v>2016</v>
      </c>
      <c r="D39">
        <v>2017</v>
      </c>
      <c r="E39">
        <v>2018</v>
      </c>
      <c r="F39">
        <v>2019</v>
      </c>
      <c r="G39">
        <v>2020</v>
      </c>
      <c r="H39">
        <v>2021</v>
      </c>
      <c r="I39">
        <v>2022</v>
      </c>
      <c r="J39">
        <v>2023</v>
      </c>
      <c r="K39">
        <v>2024</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row>
    <row r="40" spans="1:37" x14ac:dyDescent="0.25">
      <c r="A40" t="s">
        <v>1623</v>
      </c>
      <c r="B40" s="102">
        <f>B33*23500/1000</f>
        <v>0.31025740767999999</v>
      </c>
      <c r="C40" s="102">
        <f t="shared" ref="C40:AK43" si="8">C33*23500/1000</f>
        <v>0.28546411771747582</v>
      </c>
      <c r="D40" s="102">
        <f t="shared" si="8"/>
        <v>0.26265210914243686</v>
      </c>
      <c r="E40" s="102">
        <f t="shared" si="8"/>
        <v>0.24166305379664646</v>
      </c>
      <c r="F40" s="102">
        <f t="shared" si="8"/>
        <v>0.22235127584164882</v>
      </c>
      <c r="G40" s="102">
        <f t="shared" si="8"/>
        <v>0.20458274068659096</v>
      </c>
      <c r="H40" s="102">
        <f t="shared" si="8"/>
        <v>0.18823412471284412</v>
      </c>
      <c r="I40" s="102">
        <f t="shared" si="8"/>
        <v>0.17319195933879125</v>
      </c>
      <c r="J40" s="102">
        <f t="shared" si="8"/>
        <v>0.15935184348410977</v>
      </c>
      <c r="K40" s="102">
        <f t="shared" si="8"/>
        <v>0.14661771896760759</v>
      </c>
      <c r="L40" s="102">
        <f t="shared" si="8"/>
        <v>0.1349012038094681</v>
      </c>
      <c r="M40" s="102">
        <f t="shared" si="8"/>
        <v>0.1241209788106459</v>
      </c>
      <c r="N40" s="102">
        <f t="shared" si="8"/>
        <v>0.11420222315192956</v>
      </c>
      <c r="O40" s="102">
        <f t="shared" si="8"/>
        <v>0.10507609509541255</v>
      </c>
      <c r="P40" s="102">
        <f t="shared" si="8"/>
        <v>9.6679254184147939E-2</v>
      </c>
      <c r="Q40" s="102">
        <f t="shared" si="8"/>
        <v>8.8953421623784307E-2</v>
      </c>
      <c r="R40" s="102">
        <f t="shared" si="8"/>
        <v>8.1844975794984426E-2</v>
      </c>
      <c r="S40" s="102">
        <f t="shared" si="8"/>
        <v>7.5304580089255627E-2</v>
      </c>
      <c r="T40" s="102">
        <f t="shared" si="8"/>
        <v>6.9286840485163009E-2</v>
      </c>
      <c r="U40" s="102">
        <f t="shared" si="8"/>
        <v>6.3749990488312661E-2</v>
      </c>
      <c r="V40" s="102">
        <f t="shared" si="8"/>
        <v>5.865560124841062E-2</v>
      </c>
      <c r="W40" s="102">
        <f t="shared" si="8"/>
        <v>5.3968314841447616E-2</v>
      </c>
      <c r="X40" s="102">
        <f t="shared" si="8"/>
        <v>4.9655598865837848E-2</v>
      </c>
      <c r="Y40" s="102">
        <f t="shared" si="8"/>
        <v>4.5687520649271007E-2</v>
      </c>
      <c r="Z40" s="102">
        <f t="shared" si="8"/>
        <v>4.2036539499146458E-2</v>
      </c>
      <c r="AA40" s="102">
        <f t="shared" si="8"/>
        <v>3.8677315554690665E-2</v>
      </c>
      <c r="AB40" s="102">
        <f t="shared" si="8"/>
        <v>3.5586533914084222E-2</v>
      </c>
      <c r="AC40" s="102">
        <f t="shared" si="8"/>
        <v>3.2742742815941923E-2</v>
      </c>
      <c r="AD40" s="102">
        <f t="shared" si="8"/>
        <v>3.0126204752034366E-2</v>
      </c>
      <c r="AE40" s="102">
        <f t="shared" si="8"/>
        <v>2.7718759477889789E-2</v>
      </c>
      <c r="AF40" s="102">
        <f t="shared" si="8"/>
        <v>2.5503697970492661E-2</v>
      </c>
      <c r="AG40" s="102">
        <f t="shared" si="8"/>
        <v>2.3465646458274651E-2</v>
      </c>
      <c r="AH40" s="102">
        <f t="shared" si="8"/>
        <v>2.1590459718501001E-2</v>
      </c>
      <c r="AI40" s="102">
        <f t="shared" si="8"/>
        <v>1.9865122901476146E-2</v>
      </c>
      <c r="AJ40" s="102">
        <f t="shared" si="8"/>
        <v>1.8277661200173385E-2</v>
      </c>
      <c r="AK40" s="102">
        <f t="shared" si="8"/>
        <v>1.6817056738345128E-2</v>
      </c>
    </row>
    <row r="41" spans="1:37" x14ac:dyDescent="0.25">
      <c r="A41" t="s">
        <v>1624</v>
      </c>
      <c r="B41" s="102">
        <f t="shared" ref="B41:Q43" si="9">B34*23500/1000</f>
        <v>2.51026448032</v>
      </c>
      <c r="C41" s="102">
        <f t="shared" si="9"/>
        <v>2.4247949952940653</v>
      </c>
      <c r="D41" s="102">
        <f t="shared" si="9"/>
        <v>2.3422355752942923</v>
      </c>
      <c r="E41" s="102">
        <f t="shared" si="9"/>
        <v>2.2624871384266725</v>
      </c>
      <c r="F41" s="102">
        <f t="shared" si="9"/>
        <v>2.1854539763375209</v>
      </c>
      <c r="G41" s="102">
        <f t="shared" si="9"/>
        <v>2.1110436393511804</v>
      </c>
      <c r="H41" s="102">
        <f t="shared" si="9"/>
        <v>2.0391668255185516</v>
      </c>
      <c r="I41" s="102">
        <f t="shared" si="9"/>
        <v>1.9697372734432963</v>
      </c>
      <c r="J41" s="102">
        <f t="shared" si="9"/>
        <v>1.9026716587570984</v>
      </c>
      <c r="K41" s="102">
        <f t="shared" si="9"/>
        <v>1.8378894941197368</v>
      </c>
      <c r="L41" s="102">
        <f t="shared" si="9"/>
        <v>1.7753130326239479</v>
      </c>
      <c r="M41" s="102">
        <f t="shared" si="9"/>
        <v>1.7148671744891679</v>
      </c>
      <c r="N41" s="102">
        <f t="shared" si="9"/>
        <v>1.6564793769321602</v>
      </c>
      <c r="O41" s="102">
        <f t="shared" si="9"/>
        <v>1.6000795671063746</v>
      </c>
      <c r="P41" s="102">
        <f t="shared" si="9"/>
        <v>1.5456000580055362</v>
      </c>
      <c r="Q41" s="102">
        <f t="shared" si="9"/>
        <v>1.4929754672305637</v>
      </c>
      <c r="R41" s="102">
        <f t="shared" si="8"/>
        <v>1.4421426385222973</v>
      </c>
      <c r="S41" s="102">
        <f t="shared" si="8"/>
        <v>1.3930405659658904</v>
      </c>
      <c r="T41" s="102">
        <f t="shared" si="8"/>
        <v>1.3456103207758834</v>
      </c>
      <c r="U41" s="102">
        <f t="shared" si="8"/>
        <v>1.2997949805741065</v>
      </c>
      <c r="V41" s="102">
        <f t="shared" si="8"/>
        <v>1.2555395610755191</v>
      </c>
      <c r="W41" s="102">
        <f t="shared" si="8"/>
        <v>1.2127909501000196</v>
      </c>
      <c r="X41" s="102">
        <f t="shared" si="8"/>
        <v>1.171497843831014</v>
      </c>
      <c r="Y41" s="102">
        <f t="shared" si="8"/>
        <v>1.1316106852442558</v>
      </c>
      <c r="Z41" s="102">
        <f t="shared" si="8"/>
        <v>1.0930816046330591</v>
      </c>
      <c r="AA41" s="102">
        <f t="shared" si="8"/>
        <v>1.0558643621585126</v>
      </c>
      <c r="AB41" s="102">
        <f t="shared" si="8"/>
        <v>1.0199142923557396</v>
      </c>
      <c r="AC41" s="102">
        <f t="shared" si="8"/>
        <v>0.98518825052961123</v>
      </c>
      <c r="AD41" s="102">
        <f t="shared" si="8"/>
        <v>0.95164456097557903</v>
      </c>
      <c r="AE41" s="102">
        <f t="shared" si="8"/>
        <v>0.9192429669634824</v>
      </c>
      <c r="AF41" s="102">
        <f t="shared" si="8"/>
        <v>0.88794458242430985</v>
      </c>
      <c r="AG41" s="102">
        <f t="shared" si="8"/>
        <v>0.8577118452819269</v>
      </c>
      <c r="AH41" s="102">
        <f t="shared" si="8"/>
        <v>0.82850847237376768</v>
      </c>
      <c r="AI41" s="102">
        <f t="shared" si="8"/>
        <v>0.80029941590638554</v>
      </c>
      <c r="AJ41" s="102">
        <f t="shared" si="8"/>
        <v>0.77305082139360481</v>
      </c>
      <c r="AK41" s="102">
        <f t="shared" si="8"/>
        <v>0.74672998702679549</v>
      </c>
    </row>
    <row r="42" spans="1:37" x14ac:dyDescent="0.25">
      <c r="A42" t="s">
        <v>1625</v>
      </c>
      <c r="B42" s="102">
        <f t="shared" si="9"/>
        <v>0.32726720399999992</v>
      </c>
      <c r="C42" s="102">
        <f t="shared" si="8"/>
        <v>0.34821230505599993</v>
      </c>
      <c r="D42" s="102">
        <f t="shared" si="8"/>
        <v>0.37049789257958393</v>
      </c>
      <c r="E42" s="102">
        <f t="shared" si="8"/>
        <v>0.39420975770467731</v>
      </c>
      <c r="F42" s="102">
        <f t="shared" si="8"/>
        <v>0.41943918219777676</v>
      </c>
      <c r="G42" s="102">
        <f t="shared" si="8"/>
        <v>0.44628328985843457</v>
      </c>
      <c r="H42" s="102">
        <f t="shared" si="8"/>
        <v>0.47484542040937427</v>
      </c>
      <c r="I42" s="102">
        <f t="shared" si="8"/>
        <v>0.50523552731557431</v>
      </c>
      <c r="J42" s="102">
        <f t="shared" si="8"/>
        <v>0.53757060106377119</v>
      </c>
      <c r="K42" s="102">
        <f t="shared" si="8"/>
        <v>0.57197511953185254</v>
      </c>
      <c r="L42" s="102">
        <f t="shared" si="8"/>
        <v>0.60858152718189118</v>
      </c>
      <c r="M42" s="102">
        <f t="shared" si="8"/>
        <v>0.64753074492153229</v>
      </c>
      <c r="N42" s="102">
        <f t="shared" si="8"/>
        <v>0.68897271259651027</v>
      </c>
      <c r="O42" s="102">
        <f t="shared" si="8"/>
        <v>0.73306696620268696</v>
      </c>
      <c r="P42" s="102">
        <f t="shared" si="8"/>
        <v>0.7799832520396589</v>
      </c>
      <c r="Q42" s="102">
        <f t="shared" si="8"/>
        <v>0.82990218017019735</v>
      </c>
      <c r="R42" s="102">
        <f t="shared" si="8"/>
        <v>0.88301591970108995</v>
      </c>
      <c r="S42" s="102">
        <f t="shared" si="8"/>
        <v>0.93952893856195985</v>
      </c>
      <c r="T42" s="102">
        <f t="shared" si="8"/>
        <v>0.99965879062992513</v>
      </c>
      <c r="U42" s="102">
        <f t="shared" si="8"/>
        <v>1.0636369532302405</v>
      </c>
      <c r="V42" s="102">
        <f t="shared" si="8"/>
        <v>1.131709718236976</v>
      </c>
      <c r="W42" s="102">
        <f t="shared" si="8"/>
        <v>1.2041391402041426</v>
      </c>
      <c r="X42" s="102">
        <f t="shared" si="8"/>
        <v>1.2812040451772078</v>
      </c>
      <c r="Y42" s="102">
        <f t="shared" si="8"/>
        <v>1.363201104068549</v>
      </c>
      <c r="Z42" s="102">
        <f t="shared" si="8"/>
        <v>1.4504459747289364</v>
      </c>
      <c r="AA42" s="102">
        <f t="shared" si="8"/>
        <v>1.5432745171115885</v>
      </c>
      <c r="AB42" s="102">
        <f t="shared" si="8"/>
        <v>1.64204408620673</v>
      </c>
      <c r="AC42" s="102">
        <f t="shared" si="8"/>
        <v>1.7471349077239611</v>
      </c>
      <c r="AD42" s="102">
        <f t="shared" si="8"/>
        <v>1.8589515418182943</v>
      </c>
      <c r="AE42" s="102">
        <f t="shared" si="8"/>
        <v>1.9779244404946654</v>
      </c>
      <c r="AF42" s="102">
        <f t="shared" si="8"/>
        <v>2.1045116046863241</v>
      </c>
      <c r="AG42" s="102">
        <f t="shared" si="8"/>
        <v>2.2392003473862485</v>
      </c>
      <c r="AH42" s="102">
        <f t="shared" si="8"/>
        <v>2.3825091696189693</v>
      </c>
      <c r="AI42" s="102">
        <f t="shared" si="8"/>
        <v>2.5349897564745834</v>
      </c>
      <c r="AJ42" s="102">
        <f t="shared" si="8"/>
        <v>2.6972291008889568</v>
      </c>
      <c r="AK42" s="102">
        <f t="shared" si="8"/>
        <v>2.8698517633458502</v>
      </c>
    </row>
    <row r="43" spans="1:37" x14ac:dyDescent="0.25">
      <c r="A43" t="s">
        <v>1626</v>
      </c>
      <c r="B43" s="102">
        <f t="shared" si="9"/>
        <v>1.5522109080000002</v>
      </c>
      <c r="C43" s="102">
        <f t="shared" si="8"/>
        <v>1.5615241734480003</v>
      </c>
      <c r="D43" s="102">
        <f t="shared" si="8"/>
        <v>1.5708933184886882</v>
      </c>
      <c r="E43" s="102">
        <f t="shared" si="8"/>
        <v>1.5803186783996204</v>
      </c>
      <c r="F43" s="102">
        <f t="shared" si="8"/>
        <v>1.5898005904700183</v>
      </c>
      <c r="G43" s="102">
        <f t="shared" si="8"/>
        <v>1.5993393940128382</v>
      </c>
      <c r="H43" s="102">
        <f t="shared" si="8"/>
        <v>1.6089354303769152</v>
      </c>
      <c r="I43" s="102">
        <f t="shared" si="8"/>
        <v>1.6185890429591767</v>
      </c>
      <c r="J43" s="102">
        <f t="shared" si="8"/>
        <v>1.6283005772169319</v>
      </c>
      <c r="K43" s="102">
        <f t="shared" si="8"/>
        <v>1.6380703806802335</v>
      </c>
      <c r="L43" s="102">
        <f t="shared" si="8"/>
        <v>1.6478988029643149</v>
      </c>
      <c r="M43" s="102">
        <f t="shared" si="8"/>
        <v>1.657786195782101</v>
      </c>
      <c r="N43" s="102">
        <f t="shared" si="8"/>
        <v>1.6677329129567939</v>
      </c>
      <c r="O43" s="102">
        <f t="shared" si="8"/>
        <v>1.6777393104345342</v>
      </c>
      <c r="P43" s="102">
        <f t="shared" si="8"/>
        <v>1.6878057462971414</v>
      </c>
      <c r="Q43" s="102">
        <f t="shared" si="8"/>
        <v>1.6979325807749244</v>
      </c>
      <c r="R43" s="102">
        <f t="shared" si="8"/>
        <v>1.7081201762595737</v>
      </c>
      <c r="S43" s="102">
        <f t="shared" si="8"/>
        <v>1.7183688973171316</v>
      </c>
      <c r="T43" s="102">
        <f t="shared" si="8"/>
        <v>1.7286791107010344</v>
      </c>
      <c r="U43" s="102">
        <f t="shared" si="8"/>
        <v>1.7390511853652402</v>
      </c>
      <c r="V43" s="102">
        <f t="shared" si="8"/>
        <v>1.7494854924774317</v>
      </c>
      <c r="W43" s="102">
        <f t="shared" si="8"/>
        <v>1.7599824054322968</v>
      </c>
      <c r="X43" s="102">
        <f t="shared" si="8"/>
        <v>1.7705422998648905</v>
      </c>
      <c r="Y43" s="102">
        <f t="shared" si="8"/>
        <v>1.7811655536640796</v>
      </c>
      <c r="Z43" s="102">
        <f t="shared" si="8"/>
        <v>1.791852546986064</v>
      </c>
      <c r="AA43" s="102">
        <f t="shared" si="8"/>
        <v>1.8026036622679804</v>
      </c>
      <c r="AB43" s="102">
        <f t="shared" si="8"/>
        <v>1.8134192842415884</v>
      </c>
      <c r="AC43" s="102">
        <f t="shared" si="8"/>
        <v>1.8242997999470381</v>
      </c>
      <c r="AD43" s="102">
        <f t="shared" si="8"/>
        <v>1.8352455987467202</v>
      </c>
      <c r="AE43" s="102">
        <f t="shared" si="8"/>
        <v>1.8462570723392004</v>
      </c>
      <c r="AF43" s="102">
        <f t="shared" si="8"/>
        <v>1.8573346147732359</v>
      </c>
      <c r="AG43" s="102">
        <f t="shared" si="8"/>
        <v>1.8684786224618755</v>
      </c>
      <c r="AH43" s="102">
        <f t="shared" si="8"/>
        <v>1.8796894941966467</v>
      </c>
      <c r="AI43" s="102">
        <f t="shared" si="8"/>
        <v>1.8909676311618264</v>
      </c>
      <c r="AJ43" s="102">
        <f t="shared" si="8"/>
        <v>1.9023134369487973</v>
      </c>
      <c r="AK43" s="102">
        <f t="shared" si="8"/>
        <v>1.9137273175704901</v>
      </c>
    </row>
    <row r="45" spans="1:37" x14ac:dyDescent="0.25">
      <c r="A45" t="s">
        <v>758</v>
      </c>
      <c r="B45" s="102">
        <f>SUM(B40:B43)</f>
        <v>4.7</v>
      </c>
      <c r="C45" s="102">
        <f t="shared" ref="C45:AK45" si="10">SUM(C40:C43)</f>
        <v>4.6199955915155417</v>
      </c>
      <c r="D45" s="102">
        <f t="shared" si="10"/>
        <v>4.5462788955050009</v>
      </c>
      <c r="E45" s="102">
        <f t="shared" si="10"/>
        <v>4.478678628327617</v>
      </c>
      <c r="F45" s="102">
        <f t="shared" si="10"/>
        <v>4.4170450248469644</v>
      </c>
      <c r="G45" s="102">
        <f t="shared" si="10"/>
        <v>4.3612490639090442</v>
      </c>
      <c r="H45" s="102">
        <f t="shared" si="10"/>
        <v>4.3111818010176854</v>
      </c>
      <c r="I45" s="102">
        <f t="shared" si="10"/>
        <v>4.2667538030568384</v>
      </c>
      <c r="J45" s="102">
        <f t="shared" si="10"/>
        <v>4.2278946805219118</v>
      </c>
      <c r="K45" s="102">
        <f t="shared" si="10"/>
        <v>4.19455271329943</v>
      </c>
      <c r="L45" s="102">
        <f t="shared" si="10"/>
        <v>4.166694566579622</v>
      </c>
      <c r="M45" s="102">
        <f t="shared" si="10"/>
        <v>4.1443050940034469</v>
      </c>
      <c r="N45" s="102">
        <f t="shared" si="10"/>
        <v>4.1273872256373938</v>
      </c>
      <c r="O45" s="102">
        <f t="shared" si="10"/>
        <v>4.1159619388390078</v>
      </c>
      <c r="P45" s="102">
        <f t="shared" si="10"/>
        <v>4.1100683105264846</v>
      </c>
      <c r="Q45" s="102">
        <f t="shared" si="10"/>
        <v>4.1097636497994703</v>
      </c>
      <c r="R45" s="102">
        <f t="shared" si="10"/>
        <v>4.1151237102779454</v>
      </c>
      <c r="S45" s="102">
        <f t="shared" si="10"/>
        <v>4.1262429819342374</v>
      </c>
      <c r="T45" s="102">
        <f t="shared" si="10"/>
        <v>4.143235062592006</v>
      </c>
      <c r="U45" s="102">
        <f t="shared" si="10"/>
        <v>4.1662331096578997</v>
      </c>
      <c r="V45" s="102">
        <f t="shared" si="10"/>
        <v>4.1953903730383377</v>
      </c>
      <c r="W45" s="102">
        <f t="shared" si="10"/>
        <v>4.2308808105779061</v>
      </c>
      <c r="X45" s="102">
        <f t="shared" si="10"/>
        <v>4.2728997877389503</v>
      </c>
      <c r="Y45" s="102">
        <f t="shared" si="10"/>
        <v>4.3216648636261557</v>
      </c>
      <c r="Z45" s="102">
        <f t="shared" si="10"/>
        <v>4.377416665847206</v>
      </c>
      <c r="AA45" s="102">
        <f t="shared" si="10"/>
        <v>4.4404198570927722</v>
      </c>
      <c r="AB45" s="102">
        <f t="shared" si="10"/>
        <v>4.5109641967181417</v>
      </c>
      <c r="AC45" s="102">
        <f t="shared" si="10"/>
        <v>4.5893657010165523</v>
      </c>
      <c r="AD45" s="102">
        <f t="shared" si="10"/>
        <v>4.6759679062926276</v>
      </c>
      <c r="AE45" s="102">
        <f t="shared" si="10"/>
        <v>4.7711432392752382</v>
      </c>
      <c r="AF45" s="102">
        <f t="shared" si="10"/>
        <v>4.8752944998543626</v>
      </c>
      <c r="AG45" s="102">
        <f t="shared" si="10"/>
        <v>4.9888564615883251</v>
      </c>
      <c r="AH45" s="102">
        <f t="shared" si="10"/>
        <v>5.1122975959078847</v>
      </c>
      <c r="AI45" s="102">
        <f t="shared" si="10"/>
        <v>5.2461219264442711</v>
      </c>
      <c r="AJ45" s="102">
        <f t="shared" si="10"/>
        <v>5.3908710204315327</v>
      </c>
      <c r="AK45" s="102">
        <f t="shared" si="10"/>
        <v>5.5471261246814816</v>
      </c>
    </row>
  </sheetData>
  <hyperlinks>
    <hyperlink ref="D6"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V129"/>
  <sheetViews>
    <sheetView zoomScaleNormal="100" workbookViewId="0">
      <selection activeCell="K85" sqref="K1:K85"/>
    </sheetView>
  </sheetViews>
  <sheetFormatPr defaultRowHeight="15" x14ac:dyDescent="0.25"/>
  <cols>
    <col min="1" max="1" width="32.7109375" customWidth="1"/>
    <col min="2" max="2" width="13.7109375" bestFit="1" customWidth="1"/>
    <col min="3" max="3" width="10.5703125" bestFit="1" customWidth="1"/>
    <col min="9" max="10" width="10.140625" bestFit="1" customWidth="1"/>
  </cols>
  <sheetData>
    <row r="1" spans="1:48" x14ac:dyDescent="0.25">
      <c r="A1" s="73" t="s">
        <v>578</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row>
    <row r="2" spans="1:48" x14ac:dyDescent="0.25">
      <c r="A2" s="68" t="s">
        <v>578</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row>
    <row r="3" spans="1:48" x14ac:dyDescent="0.25">
      <c r="A3" s="62" t="s">
        <v>574</v>
      </c>
      <c r="B3" s="71">
        <v>2006</v>
      </c>
      <c r="C3" s="71">
        <v>2007</v>
      </c>
      <c r="D3" s="71">
        <v>2008</v>
      </c>
      <c r="E3" s="71">
        <v>2009</v>
      </c>
      <c r="F3" s="71">
        <v>2010</v>
      </c>
      <c r="G3" s="71">
        <v>2011</v>
      </c>
      <c r="H3" s="71">
        <v>2012</v>
      </c>
      <c r="I3" s="71">
        <v>2013</v>
      </c>
      <c r="J3" s="71">
        <v>2014</v>
      </c>
      <c r="K3" s="71">
        <v>2015</v>
      </c>
      <c r="L3" s="71">
        <v>2016</v>
      </c>
      <c r="M3" s="71">
        <v>2017</v>
      </c>
      <c r="N3" s="71">
        <v>2018</v>
      </c>
      <c r="O3" s="71">
        <v>2019</v>
      </c>
      <c r="P3" s="71">
        <v>2020</v>
      </c>
      <c r="Q3" s="71">
        <v>2021</v>
      </c>
      <c r="R3" s="71">
        <v>2022</v>
      </c>
      <c r="S3" s="71">
        <v>2023</v>
      </c>
      <c r="T3" s="71">
        <v>2024</v>
      </c>
      <c r="U3" s="71">
        <v>2025</v>
      </c>
      <c r="V3" s="71">
        <v>2026</v>
      </c>
      <c r="W3" s="358">
        <v>2027</v>
      </c>
      <c r="X3" s="72">
        <v>2028</v>
      </c>
      <c r="Y3" s="72">
        <v>2029</v>
      </c>
      <c r="Z3" s="72">
        <v>2030</v>
      </c>
      <c r="AA3" s="72">
        <v>2031</v>
      </c>
      <c r="AB3" s="72">
        <v>2032</v>
      </c>
      <c r="AC3" s="72">
        <v>2033</v>
      </c>
      <c r="AD3" s="72">
        <v>2034</v>
      </c>
      <c r="AE3" s="72">
        <v>2035</v>
      </c>
      <c r="AF3" s="72">
        <v>2036</v>
      </c>
      <c r="AG3" s="72">
        <v>2037</v>
      </c>
      <c r="AH3" s="72">
        <v>2038</v>
      </c>
      <c r="AI3" s="72">
        <v>2039</v>
      </c>
      <c r="AJ3" s="72">
        <v>2040</v>
      </c>
      <c r="AK3" s="72">
        <v>2041</v>
      </c>
      <c r="AL3" s="72">
        <v>2042</v>
      </c>
      <c r="AM3" s="72">
        <v>2043</v>
      </c>
      <c r="AN3" s="72">
        <v>2044</v>
      </c>
      <c r="AO3" s="72">
        <v>2045</v>
      </c>
      <c r="AP3" s="72">
        <v>2046</v>
      </c>
      <c r="AQ3" s="72">
        <v>2047</v>
      </c>
      <c r="AR3" s="72">
        <v>2048</v>
      </c>
      <c r="AS3" s="72">
        <v>2049</v>
      </c>
      <c r="AT3" s="72">
        <v>2050</v>
      </c>
    </row>
    <row r="4" spans="1:48" x14ac:dyDescent="0.25">
      <c r="A4" s="62" t="s">
        <v>579</v>
      </c>
      <c r="B4" s="62">
        <v>9063</v>
      </c>
      <c r="C4" s="62">
        <v>9132</v>
      </c>
      <c r="D4" s="62">
        <v>9257</v>
      </c>
      <c r="E4" s="62">
        <v>9333</v>
      </c>
      <c r="F4" s="62">
        <v>9085.5</v>
      </c>
      <c r="G4" s="62">
        <v>9149.6</v>
      </c>
      <c r="H4" s="62">
        <v>9229.5</v>
      </c>
      <c r="I4" s="62">
        <v>9217.9</v>
      </c>
      <c r="J4" s="62">
        <v>9306.9</v>
      </c>
      <c r="K4" s="62">
        <v>9317</v>
      </c>
      <c r="L4" s="62">
        <v>9328</v>
      </c>
      <c r="M4" s="62">
        <v>9395</v>
      </c>
      <c r="N4" s="62">
        <v>9440</v>
      </c>
      <c r="O4" s="62">
        <v>9485</v>
      </c>
      <c r="P4" s="62">
        <v>9525</v>
      </c>
      <c r="Q4" s="62">
        <v>9540</v>
      </c>
      <c r="R4" s="62">
        <v>9550</v>
      </c>
      <c r="S4" s="62">
        <v>9550</v>
      </c>
      <c r="T4" s="62">
        <v>9550</v>
      </c>
      <c r="U4" s="62">
        <v>9545</v>
      </c>
      <c r="V4" s="62">
        <v>9545</v>
      </c>
      <c r="W4" s="359">
        <v>9545</v>
      </c>
      <c r="X4" s="70">
        <f>W4*(1+($W4-$M4)/$M4/COUNT($N$3:$W$3))</f>
        <v>9560.2394890899413</v>
      </c>
      <c r="Y4" s="70">
        <f t="shared" ref="Y4:AT9" si="0">X4*(1+($W4-$M4)/$M4/COUNT($N$3:$W$3))</f>
        <v>9575.5033094557039</v>
      </c>
      <c r="Z4" s="70">
        <f t="shared" si="0"/>
        <v>9590.7914999444565</v>
      </c>
      <c r="AA4" s="70">
        <f t="shared" si="0"/>
        <v>9606.1040994653886</v>
      </c>
      <c r="AB4" s="70">
        <f t="shared" si="0"/>
        <v>9621.4411469898132</v>
      </c>
      <c r="AC4" s="70">
        <f t="shared" si="0"/>
        <v>9636.8026815512658</v>
      </c>
      <c r="AD4" s="70">
        <f t="shared" si="0"/>
        <v>9652.1887422455984</v>
      </c>
      <c r="AE4" s="70">
        <f t="shared" si="0"/>
        <v>9667.5993682310891</v>
      </c>
      <c r="AF4" s="70">
        <f t="shared" si="0"/>
        <v>9683.0345987285309</v>
      </c>
      <c r="AG4" s="70">
        <f t="shared" si="0"/>
        <v>9698.4944730213374</v>
      </c>
      <c r="AH4" s="70">
        <f t="shared" si="0"/>
        <v>9713.9790304556445</v>
      </c>
      <c r="AI4" s="70">
        <f t="shared" si="0"/>
        <v>9729.4883104404053</v>
      </c>
      <c r="AJ4" s="70">
        <f t="shared" si="0"/>
        <v>9745.0223524474932</v>
      </c>
      <c r="AK4" s="70">
        <f t="shared" si="0"/>
        <v>9760.5811960118044</v>
      </c>
      <c r="AL4" s="70">
        <f t="shared" si="0"/>
        <v>9776.1648807313541</v>
      </c>
      <c r="AM4" s="70">
        <f t="shared" si="0"/>
        <v>9791.7734462673798</v>
      </c>
      <c r="AN4" s="70">
        <f t="shared" si="0"/>
        <v>9807.4069323444419</v>
      </c>
      <c r="AO4" s="70">
        <f t="shared" si="0"/>
        <v>9823.0653787505253</v>
      </c>
      <c r="AP4" s="70">
        <f t="shared" si="0"/>
        <v>9838.7488253371412</v>
      </c>
      <c r="AQ4" s="70">
        <f t="shared" si="0"/>
        <v>9854.4573120194236</v>
      </c>
      <c r="AR4" s="70">
        <f t="shared" si="0"/>
        <v>9870.1908787762386</v>
      </c>
      <c r="AS4" s="70">
        <f t="shared" si="0"/>
        <v>9885.9495656502822</v>
      </c>
      <c r="AT4" s="70">
        <f t="shared" si="0"/>
        <v>9901.733412748179</v>
      </c>
    </row>
    <row r="5" spans="1:48" x14ac:dyDescent="0.25">
      <c r="A5" s="62" t="s">
        <v>1950</v>
      </c>
      <c r="B5" s="360"/>
      <c r="C5" s="360"/>
      <c r="D5" s="360"/>
      <c r="E5" s="360"/>
      <c r="F5" s="360"/>
      <c r="G5" s="360"/>
      <c r="H5" s="62">
        <v>90768.5</v>
      </c>
      <c r="I5" s="361">
        <v>90095.2</v>
      </c>
      <c r="J5" s="361">
        <v>88526</v>
      </c>
      <c r="K5" s="361">
        <v>89143</v>
      </c>
      <c r="L5" s="62">
        <v>91918</v>
      </c>
      <c r="M5" s="62">
        <v>93585</v>
      </c>
      <c r="N5" s="62">
        <v>94500</v>
      </c>
      <c r="O5" s="62">
        <v>94500</v>
      </c>
      <c r="P5" s="62">
        <v>93912</v>
      </c>
      <c r="Q5" s="62">
        <v>93416</v>
      </c>
      <c r="R5" s="62">
        <v>93136</v>
      </c>
      <c r="S5" s="62">
        <v>92773</v>
      </c>
      <c r="T5" s="62">
        <v>92265</v>
      </c>
      <c r="U5" s="62">
        <v>92017</v>
      </c>
      <c r="V5" s="62">
        <v>92061</v>
      </c>
      <c r="W5" s="359">
        <v>92365</v>
      </c>
      <c r="X5" s="70">
        <f t="shared" ref="X5:AM9" si="1">W5*(1+($W5-$M5)/$M5/COUNT($N$3:$W$3))</f>
        <v>92244.590425816103</v>
      </c>
      <c r="Y5" s="70">
        <f t="shared" si="1"/>
        <v>92124.337820890636</v>
      </c>
      <c r="Z5" s="70">
        <f t="shared" si="1"/>
        <v>92004.241980594132</v>
      </c>
      <c r="AA5" s="70">
        <f t="shared" si="1"/>
        <v>91884.302700563872</v>
      </c>
      <c r="AB5" s="70">
        <f t="shared" si="1"/>
        <v>91764.519776703542</v>
      </c>
      <c r="AC5" s="70">
        <f t="shared" si="1"/>
        <v>91644.893005182923</v>
      </c>
      <c r="AD5" s="70">
        <f t="shared" si="1"/>
        <v>91525.422182437484</v>
      </c>
      <c r="AE5" s="70">
        <f t="shared" si="1"/>
        <v>91406.107105168077</v>
      </c>
      <c r="AF5" s="70">
        <f t="shared" si="1"/>
        <v>91286.947570340591</v>
      </c>
      <c r="AG5" s="70">
        <f t="shared" si="1"/>
        <v>91167.943375185583</v>
      </c>
      <c r="AH5" s="70">
        <f t="shared" si="1"/>
        <v>91049.094317197945</v>
      </c>
      <c r="AI5" s="70">
        <f t="shared" si="1"/>
        <v>90930.400194136571</v>
      </c>
      <c r="AJ5" s="70">
        <f t="shared" si="1"/>
        <v>90811.860804024007</v>
      </c>
      <c r="AK5" s="70">
        <f t="shared" si="1"/>
        <v>90693.475945146085</v>
      </c>
      <c r="AL5" s="70">
        <f t="shared" si="1"/>
        <v>90575.245416051592</v>
      </c>
      <c r="AM5" s="70">
        <f t="shared" si="1"/>
        <v>90457.169015551961</v>
      </c>
      <c r="AN5" s="70">
        <f t="shared" si="0"/>
        <v>90339.246542720881</v>
      </c>
      <c r="AO5" s="70">
        <f t="shared" si="0"/>
        <v>90221.47779689396</v>
      </c>
      <c r="AP5" s="70">
        <f t="shared" si="0"/>
        <v>90103.862577668435</v>
      </c>
      <c r="AQ5" s="70">
        <f t="shared" si="0"/>
        <v>89986.400684902765</v>
      </c>
      <c r="AR5" s="70">
        <f t="shared" si="0"/>
        <v>89869.091918716324</v>
      </c>
      <c r="AS5" s="70">
        <f t="shared" si="0"/>
        <v>89751.936079489067</v>
      </c>
      <c r="AT5" s="70">
        <f t="shared" si="0"/>
        <v>89634.932967861168</v>
      </c>
    </row>
    <row r="6" spans="1:48" x14ac:dyDescent="0.25">
      <c r="A6" s="62" t="s">
        <v>1947</v>
      </c>
      <c r="B6" s="62">
        <v>60326</v>
      </c>
      <c r="C6" s="62">
        <v>61860</v>
      </c>
      <c r="D6" s="62">
        <v>67218</v>
      </c>
      <c r="E6" s="62">
        <v>65819</v>
      </c>
      <c r="F6" s="62">
        <v>63568</v>
      </c>
      <c r="G6" s="62">
        <v>63684</v>
      </c>
      <c r="H6" s="62">
        <v>64937</v>
      </c>
      <c r="I6" s="62">
        <v>65072</v>
      </c>
      <c r="J6" s="62">
        <v>61494</v>
      </c>
      <c r="K6" s="62">
        <v>67776</v>
      </c>
      <c r="L6" s="62">
        <v>68919</v>
      </c>
      <c r="M6" s="62">
        <v>71525</v>
      </c>
      <c r="N6" s="62">
        <v>72125</v>
      </c>
      <c r="O6" s="62">
        <v>72490</v>
      </c>
      <c r="P6" s="62">
        <v>72695</v>
      </c>
      <c r="Q6" s="62">
        <v>72933</v>
      </c>
      <c r="R6" s="62">
        <v>73236</v>
      </c>
      <c r="S6" s="62">
        <v>73619</v>
      </c>
      <c r="T6" s="62">
        <v>74090</v>
      </c>
      <c r="U6" s="62">
        <v>74547</v>
      </c>
      <c r="V6" s="62">
        <v>74971</v>
      </c>
      <c r="W6" s="359">
        <v>75412</v>
      </c>
      <c r="X6" s="70">
        <f t="shared" si="1"/>
        <v>75821.823759524646</v>
      </c>
      <c r="Y6" s="70">
        <f t="shared" si="0"/>
        <v>76233.874691301331</v>
      </c>
      <c r="Z6" s="70">
        <f t="shared" si="0"/>
        <v>76648.164898816322</v>
      </c>
      <c r="AA6" s="70">
        <f t="shared" si="0"/>
        <v>77064.706551331808</v>
      </c>
      <c r="AB6" s="70">
        <f t="shared" si="0"/>
        <v>77483.511884243417</v>
      </c>
      <c r="AC6" s="70">
        <f t="shared" si="0"/>
        <v>77904.59319943958</v>
      </c>
      <c r="AD6" s="70">
        <f t="shared" si="0"/>
        <v>78327.962865662892</v>
      </c>
      <c r="AE6" s="70">
        <f t="shared" si="0"/>
        <v>78753.633318873428</v>
      </c>
      <c r="AF6" s="70">
        <f t="shared" si="0"/>
        <v>79181.617062614023</v>
      </c>
      <c r="AG6" s="70">
        <f t="shared" si="0"/>
        <v>79611.926668377579</v>
      </c>
      <c r="AH6" s="70">
        <f t="shared" si="0"/>
        <v>80044.574775976303</v>
      </c>
      <c r="AI6" s="70">
        <f t="shared" si="0"/>
        <v>80479.574093913005</v>
      </c>
      <c r="AJ6" s="70">
        <f t="shared" si="0"/>
        <v>80916.937399754373</v>
      </c>
      <c r="AK6" s="70">
        <f t="shared" si="0"/>
        <v>81356.677540506353</v>
      </c>
      <c r="AL6" s="70">
        <f t="shared" si="0"/>
        <v>81798.807432991438</v>
      </c>
      <c r="AM6" s="70">
        <f t="shared" si="0"/>
        <v>82243.340064228134</v>
      </c>
      <c r="AN6" s="70">
        <f t="shared" si="0"/>
        <v>82690.288491812418</v>
      </c>
      <c r="AO6" s="70">
        <f t="shared" si="0"/>
        <v>83139.665844301315</v>
      </c>
      <c r="AP6" s="70">
        <f t="shared" si="0"/>
        <v>83591.485321598491</v>
      </c>
      <c r="AQ6" s="70">
        <f t="shared" si="0"/>
        <v>84045.760195342024</v>
      </c>
      <c r="AR6" s="70">
        <f t="shared" si="0"/>
        <v>84502.503809294212</v>
      </c>
      <c r="AS6" s="70">
        <f t="shared" si="0"/>
        <v>84961.729579733539</v>
      </c>
      <c r="AT6" s="70">
        <f t="shared" si="0"/>
        <v>85423.450995848791</v>
      </c>
    </row>
    <row r="7" spans="1:48" x14ac:dyDescent="0.25">
      <c r="A7" s="62" t="s">
        <v>568</v>
      </c>
      <c r="B7" s="62">
        <v>6230</v>
      </c>
      <c r="C7" s="62">
        <v>6165</v>
      </c>
      <c r="D7" s="62">
        <v>5950</v>
      </c>
      <c r="E7" s="62">
        <v>5747</v>
      </c>
      <c r="F7" s="62">
        <v>5620</v>
      </c>
      <c r="G7" s="62">
        <v>5480</v>
      </c>
      <c r="H7" s="62">
        <v>5365</v>
      </c>
      <c r="I7" s="62">
        <v>5335</v>
      </c>
      <c r="J7" s="62">
        <v>5245</v>
      </c>
      <c r="K7" s="62">
        <v>5280</v>
      </c>
      <c r="L7" s="62">
        <v>5300</v>
      </c>
      <c r="M7" s="62">
        <v>5200</v>
      </c>
      <c r="N7" s="70">
        <f t="shared" ref="N7:W7" si="2">M7*(1+($M7-$D7)/$D7/COUNT($D$3:$M$3))</f>
        <v>5134.453781512605</v>
      </c>
      <c r="O7" s="70">
        <f t="shared" si="2"/>
        <v>5069.7337758632866</v>
      </c>
      <c r="P7" s="70">
        <f t="shared" si="2"/>
        <v>5005.8295686045058</v>
      </c>
      <c r="Q7" s="70">
        <f t="shared" si="2"/>
        <v>4942.7308765632724</v>
      </c>
      <c r="R7" s="70">
        <f t="shared" si="2"/>
        <v>4880.4275461864245</v>
      </c>
      <c r="S7" s="70">
        <f t="shared" si="2"/>
        <v>4818.9095519067641</v>
      </c>
      <c r="T7" s="70">
        <f t="shared" si="2"/>
        <v>4758.1669945297881</v>
      </c>
      <c r="U7" s="70">
        <f t="shared" si="2"/>
        <v>4698.1900996407576</v>
      </c>
      <c r="V7" s="70">
        <f t="shared" si="2"/>
        <v>4638.9692160318409</v>
      </c>
      <c r="W7" s="359">
        <f t="shared" si="2"/>
        <v>4580.4948141490868</v>
      </c>
      <c r="X7" s="70">
        <f t="shared" si="1"/>
        <v>4525.9248085504605</v>
      </c>
      <c r="Y7" s="70">
        <f t="shared" si="0"/>
        <v>4472.0049260568394</v>
      </c>
      <c r="Z7" s="70">
        <f t="shared" si="0"/>
        <v>4418.7274213867813</v>
      </c>
      <c r="AA7" s="70">
        <f t="shared" si="0"/>
        <v>4366.0846415327287</v>
      </c>
      <c r="AB7" s="70">
        <f t="shared" si="0"/>
        <v>4314.0690246616987</v>
      </c>
      <c r="AC7" s="70">
        <f t="shared" si="0"/>
        <v>4262.6730990290698</v>
      </c>
      <c r="AD7" s="70">
        <f t="shared" si="0"/>
        <v>4211.8894819053066</v>
      </c>
      <c r="AE7" s="70">
        <f t="shared" si="0"/>
        <v>4161.7108785154751</v>
      </c>
      <c r="AF7" s="70">
        <f t="shared" si="0"/>
        <v>4112.1300809913891</v>
      </c>
      <c r="AG7" s="70">
        <f t="shared" si="0"/>
        <v>4063.1399673362412</v>
      </c>
      <c r="AH7" s="70">
        <f t="shared" si="0"/>
        <v>4014.7335004015699</v>
      </c>
      <c r="AI7" s="70">
        <f t="shared" si="0"/>
        <v>3966.9037268764132</v>
      </c>
      <c r="AJ7" s="70">
        <f t="shared" si="0"/>
        <v>3919.6437762885048</v>
      </c>
      <c r="AK7" s="70">
        <f t="shared" si="0"/>
        <v>3872.9468600173705</v>
      </c>
      <c r="AL7" s="70">
        <f t="shared" si="0"/>
        <v>3826.8062703191827</v>
      </c>
      <c r="AM7" s="70">
        <f t="shared" si="0"/>
        <v>3781.2153793632306</v>
      </c>
      <c r="AN7" s="70">
        <f t="shared" si="0"/>
        <v>3736.1676382798701</v>
      </c>
      <c r="AO7" s="70">
        <f t="shared" si="0"/>
        <v>3691.6565762198175</v>
      </c>
      <c r="AP7" s="70">
        <f t="shared" si="0"/>
        <v>3647.6757994246482</v>
      </c>
      <c r="AQ7" s="70">
        <f t="shared" si="0"/>
        <v>3604.2189903083704</v>
      </c>
      <c r="AR7" s="70">
        <f t="shared" si="0"/>
        <v>3561.2799065499403</v>
      </c>
      <c r="AS7" s="70">
        <f t="shared" si="0"/>
        <v>3518.8523801965875</v>
      </c>
      <c r="AT7" s="70">
        <f t="shared" si="0"/>
        <v>3476.9303167778257</v>
      </c>
    </row>
    <row r="8" spans="1:48" x14ac:dyDescent="0.25">
      <c r="A8" s="62" t="s">
        <v>569</v>
      </c>
      <c r="B8" s="62">
        <v>2837</v>
      </c>
      <c r="C8" s="62">
        <v>2934</v>
      </c>
      <c r="D8" s="62">
        <v>3118</v>
      </c>
      <c r="E8" s="62">
        <v>3069</v>
      </c>
      <c r="F8" s="62">
        <v>3038</v>
      </c>
      <c r="G8" s="62">
        <v>2996</v>
      </c>
      <c r="H8" s="62">
        <v>2862</v>
      </c>
      <c r="I8" s="62">
        <v>2811</v>
      </c>
      <c r="J8" s="62">
        <v>2611</v>
      </c>
      <c r="K8" s="62">
        <v>2650</v>
      </c>
      <c r="L8" s="62">
        <v>2620</v>
      </c>
      <c r="M8" s="62">
        <v>2640</v>
      </c>
      <c r="N8" s="70">
        <f t="shared" ref="N8:W8" si="3">M8*(1+($M8-$D8)/$D8/COUNT($D$3:$M$3))</f>
        <v>2599.5279025016034</v>
      </c>
      <c r="O8" s="70">
        <f t="shared" si="3"/>
        <v>2559.6762560168131</v>
      </c>
      <c r="P8" s="70">
        <f t="shared" si="3"/>
        <v>2520.4355488206606</v>
      </c>
      <c r="Q8" s="70">
        <f t="shared" si="3"/>
        <v>2481.7964150061553</v>
      </c>
      <c r="R8" s="70">
        <f t="shared" si="3"/>
        <v>2443.7496322488446</v>
      </c>
      <c r="S8" s="70">
        <f t="shared" si="3"/>
        <v>2406.2861196056456</v>
      </c>
      <c r="T8" s="70">
        <f t="shared" si="3"/>
        <v>2369.396935347419</v>
      </c>
      <c r="U8" s="70">
        <f t="shared" si="3"/>
        <v>2333.0732748247742</v>
      </c>
      <c r="V8" s="70">
        <f t="shared" si="3"/>
        <v>2297.306468366588</v>
      </c>
      <c r="W8" s="359">
        <f t="shared" si="3"/>
        <v>2262.0879792107435</v>
      </c>
      <c r="X8" s="70">
        <f t="shared" si="1"/>
        <v>2229.7065307476141</v>
      </c>
      <c r="Y8" s="70">
        <f t="shared" si="0"/>
        <v>2197.7886178384538</v>
      </c>
      <c r="Z8" s="70">
        <f t="shared" si="0"/>
        <v>2166.3276050416753</v>
      </c>
      <c r="AA8" s="70">
        <f t="shared" si="0"/>
        <v>2135.3169519010371</v>
      </c>
      <c r="AB8" s="70">
        <f t="shared" si="0"/>
        <v>2104.7502115859434</v>
      </c>
      <c r="AC8" s="70">
        <f t="shared" si="0"/>
        <v>2074.6210295512064</v>
      </c>
      <c r="AD8" s="70">
        <f t="shared" si="0"/>
        <v>2044.9231422159951</v>
      </c>
      <c r="AE8" s="70">
        <f t="shared" si="0"/>
        <v>2015.6503756616935</v>
      </c>
      <c r="AF8" s="70">
        <f t="shared" si="0"/>
        <v>1986.7966443484006</v>
      </c>
      <c r="AG8" s="70">
        <f t="shared" si="0"/>
        <v>1958.3559498498014</v>
      </c>
      <c r="AH8" s="70">
        <f t="shared" si="0"/>
        <v>1930.3223796061498</v>
      </c>
      <c r="AI8" s="70">
        <f t="shared" si="0"/>
        <v>1902.690105695101</v>
      </c>
      <c r="AJ8" s="70">
        <f t="shared" si="0"/>
        <v>1875.4533836201404</v>
      </c>
      <c r="AK8" s="70">
        <f t="shared" si="0"/>
        <v>1848.6065511163549</v>
      </c>
      <c r="AL8" s="70">
        <f t="shared" si="0"/>
        <v>1822.1440269733005</v>
      </c>
      <c r="AM8" s="70">
        <f t="shared" si="0"/>
        <v>1796.060309874719</v>
      </c>
      <c r="AN8" s="70">
        <f t="shared" si="0"/>
        <v>1770.3499772548655</v>
      </c>
      <c r="AO8" s="70">
        <f t="shared" si="0"/>
        <v>1745.0076841712064</v>
      </c>
      <c r="AP8" s="70">
        <f t="shared" si="0"/>
        <v>1720.028162193255</v>
      </c>
      <c r="AQ8" s="70">
        <f t="shared" si="0"/>
        <v>1695.4062183073124</v>
      </c>
      <c r="AR8" s="70">
        <f t="shared" si="0"/>
        <v>1671.1367338368887</v>
      </c>
      <c r="AS8" s="70">
        <f t="shared" si="0"/>
        <v>1647.214663378576</v>
      </c>
      <c r="AT8" s="70">
        <f t="shared" si="0"/>
        <v>1623.6350337531558</v>
      </c>
    </row>
    <row r="9" spans="1:48" ht="15.75" customHeight="1" x14ac:dyDescent="0.25">
      <c r="A9" s="62" t="s">
        <v>589</v>
      </c>
      <c r="C9" s="62">
        <v>49043.355000000003</v>
      </c>
      <c r="D9" s="62">
        <v>49780.917000000001</v>
      </c>
      <c r="E9" s="62">
        <v>47613.116000000002</v>
      </c>
      <c r="F9" s="62">
        <v>49315.928</v>
      </c>
      <c r="G9" s="62">
        <v>49552.67</v>
      </c>
      <c r="H9" s="62">
        <v>49349.563999999998</v>
      </c>
      <c r="I9" s="62">
        <v>50357.756999999998</v>
      </c>
      <c r="J9" s="62">
        <v>51204.574999999997</v>
      </c>
      <c r="K9" s="62">
        <v>39620</v>
      </c>
      <c r="L9" s="62">
        <v>41223</v>
      </c>
      <c r="M9" s="62">
        <v>41997</v>
      </c>
      <c r="N9" s="62">
        <v>42733</v>
      </c>
      <c r="O9" s="62">
        <v>43171</v>
      </c>
      <c r="P9" s="62">
        <v>43961</v>
      </c>
      <c r="Q9" s="62">
        <v>44281</v>
      </c>
      <c r="R9" s="62">
        <v>44670</v>
      </c>
      <c r="S9" s="62">
        <v>45020</v>
      </c>
      <c r="T9" s="62">
        <v>45338</v>
      </c>
      <c r="U9" s="62">
        <v>45602</v>
      </c>
      <c r="V9" s="62">
        <v>45724</v>
      </c>
      <c r="W9" s="359">
        <v>45945</v>
      </c>
      <c r="X9" s="70">
        <f t="shared" si="1"/>
        <v>46376.913850989353</v>
      </c>
      <c r="Y9" s="70">
        <f t="shared" si="0"/>
        <v>46812.887982198023</v>
      </c>
      <c r="Z9" s="70">
        <f t="shared" si="0"/>
        <v>47252.960562986453</v>
      </c>
      <c r="AA9" s="70">
        <f t="shared" si="0"/>
        <v>47697.170121532705</v>
      </c>
      <c r="AB9" s="70">
        <f t="shared" si="0"/>
        <v>48145.555548205586</v>
      </c>
      <c r="AC9" s="70">
        <f t="shared" si="0"/>
        <v>48598.156098969484</v>
      </c>
      <c r="AD9" s="70">
        <f t="shared" si="0"/>
        <v>49055.011398821211</v>
      </c>
      <c r="AE9" s="70">
        <f t="shared" si="0"/>
        <v>49516.16144525916</v>
      </c>
      <c r="AF9" s="70">
        <f t="shared" si="0"/>
        <v>49981.646611785058</v>
      </c>
      <c r="AG9" s="70">
        <f t="shared" si="0"/>
        <v>50451.507651438667</v>
      </c>
      <c r="AH9" s="70">
        <f t="shared" si="0"/>
        <v>50925.785700365683</v>
      </c>
      <c r="AI9" s="70">
        <f t="shared" si="0"/>
        <v>51404.522281419195</v>
      </c>
      <c r="AJ9" s="70">
        <f t="shared" si="0"/>
        <v>51887.759307794986</v>
      </c>
      <c r="AK9" s="70">
        <f t="shared" si="0"/>
        <v>52375.539086701036</v>
      </c>
      <c r="AL9" s="70">
        <f t="shared" si="0"/>
        <v>52867.904323061477</v>
      </c>
      <c r="AM9" s="70">
        <f t="shared" si="0"/>
        <v>53364.898123255407</v>
      </c>
      <c r="AN9" s="70">
        <f t="shared" si="0"/>
        <v>53866.563998890837</v>
      </c>
      <c r="AO9" s="70">
        <f t="shared" si="0"/>
        <v>54372.945870614101</v>
      </c>
      <c r="AP9" s="70">
        <f t="shared" si="0"/>
        <v>54884.088071955113</v>
      </c>
      <c r="AQ9" s="70">
        <f t="shared" si="0"/>
        <v>55400.035353208725</v>
      </c>
      <c r="AR9" s="70">
        <f t="shared" si="0"/>
        <v>55920.832885352611</v>
      </c>
      <c r="AS9" s="70">
        <f t="shared" si="0"/>
        <v>56446.526264001972</v>
      </c>
      <c r="AT9" s="70">
        <f t="shared" si="0"/>
        <v>56977.161513401406</v>
      </c>
    </row>
    <row r="10" spans="1:48" ht="15.75" customHeight="1" x14ac:dyDescent="0.25">
      <c r="G10" s="62"/>
    </row>
    <row r="11" spans="1:48" x14ac:dyDescent="0.25">
      <c r="A11" s="73" t="s">
        <v>286</v>
      </c>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row>
    <row r="12" spans="1:48" x14ac:dyDescent="0.25">
      <c r="A12" s="68" t="s">
        <v>586</v>
      </c>
      <c r="B12" s="55"/>
      <c r="C12" s="55"/>
      <c r="D12" s="55"/>
      <c r="E12" s="55"/>
      <c r="F12" s="55"/>
    </row>
    <row r="13" spans="1:48" x14ac:dyDescent="0.25">
      <c r="B13" s="71">
        <v>2012</v>
      </c>
      <c r="C13" s="71">
        <v>2013</v>
      </c>
      <c r="D13" s="71">
        <v>2014</v>
      </c>
      <c r="E13" s="71">
        <v>2015</v>
      </c>
      <c r="F13" s="71">
        <v>2016</v>
      </c>
    </row>
    <row r="14" spans="1:48" x14ac:dyDescent="0.25">
      <c r="A14" s="62" t="s">
        <v>566</v>
      </c>
      <c r="B14">
        <v>4763</v>
      </c>
      <c r="C14" s="71">
        <v>4722</v>
      </c>
      <c r="D14" s="71">
        <v>4660</v>
      </c>
      <c r="E14" s="71">
        <v>4724</v>
      </c>
      <c r="F14" s="71">
        <v>4853</v>
      </c>
    </row>
    <row r="15" spans="1:48" x14ac:dyDescent="0.25">
      <c r="A15" t="s">
        <v>565</v>
      </c>
      <c r="B15">
        <v>1670</v>
      </c>
      <c r="C15" s="71">
        <v>1664</v>
      </c>
      <c r="D15" s="71">
        <v>1679</v>
      </c>
      <c r="E15" s="71">
        <v>1706</v>
      </c>
      <c r="F15" s="71">
        <v>1715</v>
      </c>
    </row>
    <row r="17" spans="1:41" x14ac:dyDescent="0.25">
      <c r="A17" s="68" t="s">
        <v>587</v>
      </c>
      <c r="B17" s="55"/>
      <c r="C17" s="55"/>
      <c r="D17" s="55"/>
      <c r="E17" s="55"/>
      <c r="F17" s="55"/>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row>
    <row r="18" spans="1:41" x14ac:dyDescent="0.25">
      <c r="B18" s="71">
        <v>2012</v>
      </c>
      <c r="C18" s="71">
        <v>2013</v>
      </c>
      <c r="D18" s="71">
        <v>2014</v>
      </c>
      <c r="E18" s="71">
        <v>2015</v>
      </c>
      <c r="F18" s="71">
        <v>2016</v>
      </c>
      <c r="G18" s="71">
        <v>2017</v>
      </c>
      <c r="H18" s="71">
        <v>2018</v>
      </c>
      <c r="I18" s="71">
        <v>2019</v>
      </c>
      <c r="J18" s="71">
        <v>2020</v>
      </c>
      <c r="K18" s="71">
        <v>2021</v>
      </c>
      <c r="L18" s="71">
        <v>2022</v>
      </c>
      <c r="M18" s="71">
        <v>2023</v>
      </c>
      <c r="N18" s="71">
        <v>2024</v>
      </c>
      <c r="O18" s="71">
        <v>2025</v>
      </c>
      <c r="P18" s="71">
        <v>2026</v>
      </c>
      <c r="Q18" s="71">
        <v>2027</v>
      </c>
      <c r="R18" s="71">
        <v>2028</v>
      </c>
      <c r="S18" s="71">
        <v>2029</v>
      </c>
      <c r="T18" s="71">
        <v>2030</v>
      </c>
      <c r="U18" s="71">
        <v>2031</v>
      </c>
      <c r="V18" s="71">
        <v>2032</v>
      </c>
      <c r="W18" s="71">
        <v>2033</v>
      </c>
      <c r="X18" s="71">
        <v>2034</v>
      </c>
      <c r="Y18" s="71">
        <v>2035</v>
      </c>
      <c r="Z18" s="71">
        <v>2036</v>
      </c>
      <c r="AA18" s="71">
        <v>2037</v>
      </c>
      <c r="AB18" s="71">
        <v>2038</v>
      </c>
      <c r="AC18" s="71">
        <v>2039</v>
      </c>
      <c r="AD18" s="71">
        <v>2040</v>
      </c>
      <c r="AE18" s="71">
        <v>2041</v>
      </c>
      <c r="AF18" s="71">
        <v>2042</v>
      </c>
      <c r="AG18" s="71">
        <v>2043</v>
      </c>
      <c r="AH18" s="71">
        <v>2044</v>
      </c>
      <c r="AI18" s="71">
        <v>2045</v>
      </c>
      <c r="AJ18" s="71">
        <v>2046</v>
      </c>
      <c r="AK18" s="71">
        <v>2047</v>
      </c>
      <c r="AL18" s="71">
        <v>2048</v>
      </c>
      <c r="AM18" s="71">
        <v>2049</v>
      </c>
      <c r="AN18" s="71">
        <v>2050</v>
      </c>
    </row>
    <row r="19" spans="1:41" x14ac:dyDescent="0.25">
      <c r="A19" s="62" t="s">
        <v>566</v>
      </c>
      <c r="B19" s="66">
        <f>B14/H5</f>
        <v>5.2474151274946708E-2</v>
      </c>
      <c r="C19" s="66">
        <f t="shared" ref="C19:F19" si="4">C14/I5</f>
        <v>5.2411227235191218E-2</v>
      </c>
      <c r="D19" s="66">
        <f t="shared" si="4"/>
        <v>5.2639902401554348E-2</v>
      </c>
      <c r="E19" s="66">
        <f t="shared" si="4"/>
        <v>5.299350481810125E-2</v>
      </c>
      <c r="F19" s="66">
        <f t="shared" si="4"/>
        <v>5.2797058247568487E-2</v>
      </c>
      <c r="G19" s="66">
        <f>(1+($F$19-$B$19)/$B$19/COUNT($C$18:$F$18))*F19</f>
        <v>5.2878281753941797E-2</v>
      </c>
      <c r="H19" s="66">
        <f t="shared" ref="H19:AN19" si="5">(1+($F$19-$B$19)/$B$19/COUNT($C$18:$F$18))*G19</f>
        <v>5.2959630215344923E-2</v>
      </c>
      <c r="I19" s="66">
        <f t="shared" si="5"/>
        <v>5.3041103824009894E-2</v>
      </c>
      <c r="J19" s="66">
        <f t="shared" si="5"/>
        <v>5.3122702772464475E-2</v>
      </c>
      <c r="K19" s="66">
        <f t="shared" si="5"/>
        <v>5.320442725353261E-2</v>
      </c>
      <c r="L19" s="66">
        <f t="shared" si="5"/>
        <v>5.3286277460334895E-2</v>
      </c>
      <c r="M19" s="66">
        <f t="shared" si="5"/>
        <v>5.3368253586289008E-2</v>
      </c>
      <c r="N19" s="66">
        <f t="shared" si="5"/>
        <v>5.34503558251102E-2</v>
      </c>
      <c r="O19" s="66">
        <f t="shared" si="5"/>
        <v>5.353258437081173E-2</v>
      </c>
      <c r="P19" s="66">
        <f t="shared" si="5"/>
        <v>5.3614939417705322E-2</v>
      </c>
      <c r="Q19" s="66">
        <f t="shared" si="5"/>
        <v>5.3697421160401645E-2</v>
      </c>
      <c r="R19" s="66">
        <f t="shared" si="5"/>
        <v>5.3780029793810746E-2</v>
      </c>
      <c r="S19" s="66">
        <f t="shared" si="5"/>
        <v>5.3862765513142521E-2</v>
      </c>
      <c r="T19" s="66">
        <f t="shared" si="5"/>
        <v>5.3945628513907197E-2</v>
      </c>
      <c r="U19" s="66">
        <f t="shared" si="5"/>
        <v>5.4028618991915758E-2</v>
      </c>
      <c r="V19" s="66">
        <f t="shared" si="5"/>
        <v>5.4111737143280436E-2</v>
      </c>
      <c r="W19" s="66">
        <f t="shared" si="5"/>
        <v>5.4194983164415157E-2</v>
      </c>
      <c r="X19" s="66">
        <f t="shared" si="5"/>
        <v>5.4278357252036016E-2</v>
      </c>
      <c r="Y19" s="66">
        <f t="shared" si="5"/>
        <v>5.4361859603161734E-2</v>
      </c>
      <c r="Z19" s="66">
        <f t="shared" si="5"/>
        <v>5.4445490415114137E-2</v>
      </c>
      <c r="AA19" s="66">
        <f t="shared" si="5"/>
        <v>5.4529249885518598E-2</v>
      </c>
      <c r="AB19" s="66">
        <f t="shared" si="5"/>
        <v>5.4613138212304534E-2</v>
      </c>
      <c r="AC19" s="66">
        <f t="shared" si="5"/>
        <v>5.4697155593705853E-2</v>
      </c>
      <c r="AD19" s="66">
        <f t="shared" si="5"/>
        <v>5.4781302228261421E-2</v>
      </c>
      <c r="AE19" s="66">
        <f t="shared" si="5"/>
        <v>5.4865578314815547E-2</v>
      </c>
      <c r="AF19" s="66">
        <f t="shared" si="5"/>
        <v>5.4949984052518441E-2</v>
      </c>
      <c r="AG19" s="66">
        <f t="shared" si="5"/>
        <v>5.5034519640826687E-2</v>
      </c>
      <c r="AH19" s="66">
        <f t="shared" si="5"/>
        <v>5.511918527950372E-2</v>
      </c>
      <c r="AI19" s="66">
        <f t="shared" si="5"/>
        <v>5.5203981168620284E-2</v>
      </c>
      <c r="AJ19" s="66">
        <f t="shared" si="5"/>
        <v>5.5288907508554912E-2</v>
      </c>
      <c r="AK19" s="66">
        <f t="shared" si="5"/>
        <v>5.5373964499994419E-2</v>
      </c>
      <c r="AL19" s="66">
        <f t="shared" si="5"/>
        <v>5.5459152343934337E-2</v>
      </c>
      <c r="AM19" s="66">
        <f t="shared" si="5"/>
        <v>5.5544471241679425E-2</v>
      </c>
      <c r="AN19" s="66">
        <f t="shared" si="5"/>
        <v>5.5629921394844128E-2</v>
      </c>
    </row>
    <row r="20" spans="1:41" x14ac:dyDescent="0.25">
      <c r="A20" t="s">
        <v>565</v>
      </c>
      <c r="B20" s="66">
        <f>B15/H4</f>
        <v>0.18094154612925945</v>
      </c>
      <c r="C20" s="66">
        <f t="shared" ref="C20:F20" si="6">C15/I4</f>
        <v>0.18051833931806593</v>
      </c>
      <c r="D20" s="66">
        <f t="shared" si="6"/>
        <v>0.1804037864380191</v>
      </c>
      <c r="E20" s="66">
        <f t="shared" si="6"/>
        <v>0.1831061500482988</v>
      </c>
      <c r="F20" s="66">
        <f t="shared" si="6"/>
        <v>0.18385506003430532</v>
      </c>
      <c r="G20" s="66">
        <f>(1+($F$19-$B$19)/$B$19/COUNT($C$18:$F$18))*F20</f>
        <v>0.18413790444147737</v>
      </c>
      <c r="H20" s="66">
        <f t="shared" ref="H20:AN20" si="7">(1+($F$19-$B$19)/$B$19/COUNT($C$18:$F$18))*G20</f>
        <v>0.1844211839792281</v>
      </c>
      <c r="I20" s="66">
        <f t="shared" si="7"/>
        <v>0.18470489931696665</v>
      </c>
      <c r="J20" s="66">
        <f t="shared" si="7"/>
        <v>0.18498905112513192</v>
      </c>
      <c r="K20" s="66">
        <f t="shared" si="7"/>
        <v>0.18527364007519423</v>
      </c>
      <c r="L20" s="66">
        <f t="shared" si="7"/>
        <v>0.18555866683965694</v>
      </c>
      <c r="M20" s="66">
        <f t="shared" si="7"/>
        <v>0.18584413209205797</v>
      </c>
      <c r="N20" s="66">
        <f t="shared" si="7"/>
        <v>0.18613003650697141</v>
      </c>
      <c r="O20" s="66">
        <f t="shared" si="7"/>
        <v>0.1864163807600091</v>
      </c>
      <c r="P20" s="66">
        <f t="shared" si="7"/>
        <v>0.18670316552782232</v>
      </c>
      <c r="Q20" s="66">
        <f t="shared" si="7"/>
        <v>0.18699039148810326</v>
      </c>
      <c r="R20" s="66">
        <f t="shared" si="7"/>
        <v>0.18727805931958669</v>
      </c>
      <c r="S20" s="66">
        <f t="shared" si="7"/>
        <v>0.18756616970205153</v>
      </c>
      <c r="T20" s="66">
        <f t="shared" si="7"/>
        <v>0.18785472331632252</v>
      </c>
      <c r="U20" s="66">
        <f t="shared" si="7"/>
        <v>0.18814372084427178</v>
      </c>
      <c r="V20" s="66">
        <f t="shared" si="7"/>
        <v>0.1884331629688204</v>
      </c>
      <c r="W20" s="66">
        <f t="shared" si="7"/>
        <v>0.1887230503739401</v>
      </c>
      <c r="X20" s="66">
        <f t="shared" si="7"/>
        <v>0.18901338374465482</v>
      </c>
      <c r="Y20" s="66">
        <f t="shared" si="7"/>
        <v>0.18930416376704237</v>
      </c>
      <c r="Z20" s="66">
        <f t="shared" si="7"/>
        <v>0.18959539112823601</v>
      </c>
      <c r="AA20" s="66">
        <f t="shared" si="7"/>
        <v>0.18988706651642609</v>
      </c>
      <c r="AB20" s="66">
        <f t="shared" si="7"/>
        <v>0.19017919062086169</v>
      </c>
      <c r="AC20" s="66">
        <f t="shared" si="7"/>
        <v>0.19047176413185227</v>
      </c>
      <c r="AD20" s="66">
        <f t="shared" si="7"/>
        <v>0.19076478774076919</v>
      </c>
      <c r="AE20" s="66">
        <f t="shared" si="7"/>
        <v>0.19105826214004745</v>
      </c>
      <c r="AF20" s="66">
        <f t="shared" si="7"/>
        <v>0.19135218802318735</v>
      </c>
      <c r="AG20" s="66">
        <f t="shared" si="7"/>
        <v>0.19164656608475603</v>
      </c>
      <c r="AH20" s="66">
        <f t="shared" si="7"/>
        <v>0.19194139702038918</v>
      </c>
      <c r="AI20" s="66">
        <f t="shared" si="7"/>
        <v>0.19223668152679263</v>
      </c>
      <c r="AJ20" s="66">
        <f t="shared" si="7"/>
        <v>0.19253242030174406</v>
      </c>
      <c r="AK20" s="66">
        <f t="shared" si="7"/>
        <v>0.1928286140440946</v>
      </c>
      <c r="AL20" s="66">
        <f t="shared" si="7"/>
        <v>0.19312526345377054</v>
      </c>
      <c r="AM20" s="66">
        <f t="shared" si="7"/>
        <v>0.19342236923177489</v>
      </c>
      <c r="AN20" s="66">
        <f t="shared" si="7"/>
        <v>0.19371993208018909</v>
      </c>
    </row>
    <row r="22" spans="1:41" x14ac:dyDescent="0.25">
      <c r="A22" s="55" t="s">
        <v>585</v>
      </c>
      <c r="B22" s="55"/>
      <c r="C22" s="55"/>
    </row>
    <row r="23" spans="1:41" x14ac:dyDescent="0.25">
      <c r="A23" t="s">
        <v>567</v>
      </c>
      <c r="B23">
        <v>1.5</v>
      </c>
    </row>
    <row r="24" spans="1:41" x14ac:dyDescent="0.25">
      <c r="A24" t="s">
        <v>568</v>
      </c>
      <c r="B24">
        <v>8</v>
      </c>
    </row>
    <row r="25" spans="1:41" x14ac:dyDescent="0.25">
      <c r="A25" t="s">
        <v>569</v>
      </c>
      <c r="B25">
        <v>5</v>
      </c>
    </row>
    <row r="27" spans="1:41" x14ac:dyDescent="0.25">
      <c r="A27" s="55" t="s">
        <v>590</v>
      </c>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row>
    <row r="28" spans="1:41" x14ac:dyDescent="0.25">
      <c r="A28" t="s">
        <v>584</v>
      </c>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41" x14ac:dyDescent="0.25">
      <c r="A29" t="s">
        <v>582</v>
      </c>
      <c r="B29" s="2">
        <f>E20*K4</f>
        <v>1706</v>
      </c>
      <c r="C29" s="2">
        <f t="shared" ref="C29:AK29" si="8">B20*L4</f>
        <v>1687.8227422937321</v>
      </c>
      <c r="D29" s="2">
        <f t="shared" si="8"/>
        <v>1695.9697978932295</v>
      </c>
      <c r="E29" s="2">
        <f t="shared" si="8"/>
        <v>1703.0117439749004</v>
      </c>
      <c r="F29" s="2">
        <f t="shared" si="8"/>
        <v>1736.7618332081142</v>
      </c>
      <c r="G29" s="2">
        <f t="shared" si="8"/>
        <v>1751.2194468267583</v>
      </c>
      <c r="H29" s="2">
        <f t="shared" si="8"/>
        <v>1756.6756083716941</v>
      </c>
      <c r="I29" s="2">
        <f t="shared" si="8"/>
        <v>1761.2223070016285</v>
      </c>
      <c r="J29" s="2">
        <f t="shared" si="8"/>
        <v>1763.9317884770314</v>
      </c>
      <c r="K29" s="2">
        <f t="shared" si="8"/>
        <v>1766.6454382450099</v>
      </c>
      <c r="L29" s="2">
        <f t="shared" si="8"/>
        <v>1768.4368945177289</v>
      </c>
      <c r="M29" s="2">
        <f t="shared" si="8"/>
        <v>1771.1574749845254</v>
      </c>
      <c r="N29" s="2">
        <f t="shared" si="8"/>
        <v>1773.8822408186934</v>
      </c>
      <c r="O29" s="2">
        <f t="shared" si="8"/>
        <v>1779.4477251197004</v>
      </c>
      <c r="P29" s="2">
        <f t="shared" si="8"/>
        <v>1785.0306709042218</v>
      </c>
      <c r="Q29" s="2">
        <f t="shared" si="8"/>
        <v>1790.6311329569612</v>
      </c>
      <c r="R29" s="2">
        <f t="shared" si="8"/>
        <v>1796.2491662345067</v>
      </c>
      <c r="S29" s="2">
        <f t="shared" si="8"/>
        <v>1801.8848258658704</v>
      </c>
      <c r="T29" s="2">
        <f t="shared" si="8"/>
        <v>1807.5381671530299</v>
      </c>
      <c r="U29" s="2">
        <f t="shared" si="8"/>
        <v>1813.2092455714701</v>
      </c>
      <c r="V29" s="2">
        <f t="shared" si="8"/>
        <v>1818.8981167707282</v>
      </c>
      <c r="W29" s="2">
        <f t="shared" si="8"/>
        <v>1824.6048365749398</v>
      </c>
      <c r="X29" s="2">
        <f t="shared" si="8"/>
        <v>1830.3294609833856</v>
      </c>
      <c r="Y29" s="2">
        <f t="shared" si="8"/>
        <v>1836.0720461710428</v>
      </c>
      <c r="Z29" s="2">
        <f t="shared" si="8"/>
        <v>1841.832648489135</v>
      </c>
      <c r="AA29" s="2">
        <f t="shared" si="8"/>
        <v>1847.6113244656851</v>
      </c>
      <c r="AB29" s="2">
        <f t="shared" si="8"/>
        <v>1853.4081308060713</v>
      </c>
      <c r="AC29" s="2">
        <f t="shared" si="8"/>
        <v>1859.2231243935819</v>
      </c>
      <c r="AD29" s="2">
        <f t="shared" si="8"/>
        <v>1865.0563622899745</v>
      </c>
      <c r="AE29" s="2">
        <f t="shared" si="8"/>
        <v>1870.9079017360357</v>
      </c>
      <c r="AF29" s="2">
        <f t="shared" si="8"/>
        <v>1876.7778001521424</v>
      </c>
      <c r="AG29" s="2">
        <f t="shared" si="8"/>
        <v>1882.6661151388264</v>
      </c>
      <c r="AH29" s="2">
        <f t="shared" si="8"/>
        <v>1888.5729044773377</v>
      </c>
      <c r="AI29" s="2">
        <f t="shared" si="8"/>
        <v>1894.4982261302139</v>
      </c>
      <c r="AJ29" s="2">
        <f t="shared" si="8"/>
        <v>1900.4421382418473</v>
      </c>
      <c r="AK29" s="2">
        <f t="shared" si="8"/>
        <v>1906.4046991390549</v>
      </c>
    </row>
    <row r="30" spans="1:41" x14ac:dyDescent="0.25">
      <c r="A30" t="s">
        <v>583</v>
      </c>
      <c r="B30" s="2">
        <f>E19*K5</f>
        <v>4724</v>
      </c>
      <c r="C30" s="2">
        <f t="shared" ref="C30:AK30" si="9">B19*L5</f>
        <v>4823.3190368905516</v>
      </c>
      <c r="D30" s="2">
        <f t="shared" si="9"/>
        <v>4904.9047008053703</v>
      </c>
      <c r="E30" s="2">
        <f t="shared" si="9"/>
        <v>4974.470776946886</v>
      </c>
      <c r="F30" s="2">
        <f t="shared" si="9"/>
        <v>5007.8862053105686</v>
      </c>
      <c r="G30" s="2">
        <f t="shared" si="9"/>
        <v>4958.2773341456514</v>
      </c>
      <c r="H30" s="2">
        <f t="shared" si="9"/>
        <v>4939.6775683262267</v>
      </c>
      <c r="I30" s="2">
        <f t="shared" si="9"/>
        <v>4932.4481197363648</v>
      </c>
      <c r="J30" s="2">
        <f t="shared" si="9"/>
        <v>4920.7823250648698</v>
      </c>
      <c r="K30" s="2">
        <f t="shared" si="9"/>
        <v>4901.3661713014344</v>
      </c>
      <c r="L30" s="2">
        <f t="shared" si="9"/>
        <v>4895.7117825883106</v>
      </c>
      <c r="M30" s="2">
        <f t="shared" si="9"/>
        <v>4905.5879892758912</v>
      </c>
      <c r="N30" s="2">
        <f t="shared" si="9"/>
        <v>4929.358742497584</v>
      </c>
      <c r="O30" s="2">
        <f t="shared" si="9"/>
        <v>4930.5061812014246</v>
      </c>
      <c r="P30" s="2">
        <f t="shared" si="9"/>
        <v>4931.6538870019904</v>
      </c>
      <c r="Q30" s="2">
        <f t="shared" si="9"/>
        <v>4932.8018599614552</v>
      </c>
      <c r="R30" s="2">
        <f t="shared" si="9"/>
        <v>4933.9501001420085</v>
      </c>
      <c r="S30" s="2">
        <f t="shared" si="9"/>
        <v>4935.0986076058516</v>
      </c>
      <c r="T30" s="2">
        <f t="shared" si="9"/>
        <v>4936.247382415203</v>
      </c>
      <c r="U30" s="2">
        <f t="shared" si="9"/>
        <v>4937.3964246322939</v>
      </c>
      <c r="V30" s="2">
        <f t="shared" si="9"/>
        <v>4938.5457343193702</v>
      </c>
      <c r="W30" s="2">
        <f t="shared" si="9"/>
        <v>4939.6953115386932</v>
      </c>
      <c r="X30" s="2">
        <f t="shared" si="9"/>
        <v>4940.8451563525368</v>
      </c>
      <c r="Y30" s="2">
        <f t="shared" si="9"/>
        <v>4941.9952688231924</v>
      </c>
      <c r="Z30" s="2">
        <f t="shared" si="9"/>
        <v>4943.1456490129631</v>
      </c>
      <c r="AA30" s="2">
        <f t="shared" si="9"/>
        <v>4944.2962969841683</v>
      </c>
      <c r="AB30" s="2">
        <f t="shared" si="9"/>
        <v>4945.4472127991412</v>
      </c>
      <c r="AC30" s="2">
        <f t="shared" si="9"/>
        <v>4946.5983965202286</v>
      </c>
      <c r="AD30" s="2">
        <f t="shared" si="9"/>
        <v>4947.7498482097935</v>
      </c>
      <c r="AE30" s="2">
        <f t="shared" si="9"/>
        <v>4948.9015679302129</v>
      </c>
      <c r="AF30" s="2">
        <f t="shared" si="9"/>
        <v>4950.053555743878</v>
      </c>
      <c r="AG30" s="2">
        <f t="shared" si="9"/>
        <v>4951.2058117131937</v>
      </c>
      <c r="AH30" s="2">
        <f t="shared" si="9"/>
        <v>4952.3583359005816</v>
      </c>
      <c r="AI30" s="2">
        <f t="shared" si="9"/>
        <v>4953.5111283684755</v>
      </c>
      <c r="AJ30" s="2">
        <f t="shared" si="9"/>
        <v>4954.6641891793261</v>
      </c>
      <c r="AK30" s="2">
        <f t="shared" si="9"/>
        <v>4955.8175183955955</v>
      </c>
    </row>
    <row r="31" spans="1:41" x14ac:dyDescent="0.25">
      <c r="A31" t="s">
        <v>567</v>
      </c>
      <c r="B31" s="2">
        <f>K6*$B$23/10^3</f>
        <v>101.664</v>
      </c>
      <c r="C31" s="2">
        <f t="shared" ref="C31:AK31" si="10">L6*$B$23/10^3</f>
        <v>103.3785</v>
      </c>
      <c r="D31" s="2">
        <f t="shared" si="10"/>
        <v>107.28749999999999</v>
      </c>
      <c r="E31" s="2">
        <f t="shared" si="10"/>
        <v>108.1875</v>
      </c>
      <c r="F31" s="2">
        <f t="shared" si="10"/>
        <v>108.735</v>
      </c>
      <c r="G31" s="2">
        <f t="shared" si="10"/>
        <v>109.0425</v>
      </c>
      <c r="H31" s="2">
        <f t="shared" si="10"/>
        <v>109.3995</v>
      </c>
      <c r="I31" s="2">
        <f t="shared" si="10"/>
        <v>109.854</v>
      </c>
      <c r="J31" s="2">
        <f t="shared" si="10"/>
        <v>110.4285</v>
      </c>
      <c r="K31" s="2">
        <f t="shared" si="10"/>
        <v>111.13500000000001</v>
      </c>
      <c r="L31" s="2">
        <f t="shared" si="10"/>
        <v>111.8205</v>
      </c>
      <c r="M31" s="2">
        <f t="shared" si="10"/>
        <v>112.45650000000001</v>
      </c>
      <c r="N31" s="2">
        <f t="shared" si="10"/>
        <v>113.11799999999999</v>
      </c>
      <c r="O31" s="2">
        <f t="shared" si="10"/>
        <v>113.73273563928697</v>
      </c>
      <c r="P31" s="2">
        <f t="shared" si="10"/>
        <v>114.35081203695201</v>
      </c>
      <c r="Q31" s="2">
        <f t="shared" si="10"/>
        <v>114.97224734822449</v>
      </c>
      <c r="R31" s="2">
        <f t="shared" si="10"/>
        <v>115.59705982699772</v>
      </c>
      <c r="S31" s="2">
        <f t="shared" si="10"/>
        <v>116.22526782636513</v>
      </c>
      <c r="T31" s="2">
        <f t="shared" si="10"/>
        <v>116.85688979915938</v>
      </c>
      <c r="U31" s="2">
        <f t="shared" si="10"/>
        <v>117.49194429849435</v>
      </c>
      <c r="V31" s="2">
        <f t="shared" si="10"/>
        <v>118.13044997831015</v>
      </c>
      <c r="W31" s="2">
        <f t="shared" si="10"/>
        <v>118.77242559392104</v>
      </c>
      <c r="X31" s="2">
        <f t="shared" si="10"/>
        <v>119.41789000256637</v>
      </c>
      <c r="Y31" s="2">
        <f t="shared" si="10"/>
        <v>120.06686216396446</v>
      </c>
      <c r="Z31" s="2">
        <f t="shared" si="10"/>
        <v>120.71936114086949</v>
      </c>
      <c r="AA31" s="2">
        <f t="shared" si="10"/>
        <v>121.37540609963156</v>
      </c>
      <c r="AB31" s="2">
        <f t="shared" si="10"/>
        <v>122.03501631075953</v>
      </c>
      <c r="AC31" s="2">
        <f t="shared" si="10"/>
        <v>122.69821114948715</v>
      </c>
      <c r="AD31" s="2">
        <f t="shared" si="10"/>
        <v>123.3650100963422</v>
      </c>
      <c r="AE31" s="2">
        <f t="shared" si="10"/>
        <v>124.03543273771862</v>
      </c>
      <c r="AF31" s="2">
        <f t="shared" si="10"/>
        <v>124.70949876645197</v>
      </c>
      <c r="AG31" s="2">
        <f t="shared" si="10"/>
        <v>125.38722798239775</v>
      </c>
      <c r="AH31" s="2">
        <f t="shared" si="10"/>
        <v>126.06864029301305</v>
      </c>
      <c r="AI31" s="2">
        <f t="shared" si="10"/>
        <v>126.75375571394133</v>
      </c>
      <c r="AJ31" s="2">
        <f t="shared" si="10"/>
        <v>127.44259436960031</v>
      </c>
      <c r="AK31" s="2">
        <f t="shared" si="10"/>
        <v>128.13517649377317</v>
      </c>
    </row>
    <row r="32" spans="1:41" x14ac:dyDescent="0.25">
      <c r="A32" t="s">
        <v>568</v>
      </c>
      <c r="B32" s="2">
        <f>K7*$B$24/10^3</f>
        <v>42.24</v>
      </c>
      <c r="C32" s="2">
        <f t="shared" ref="C32:AK32" si="11">L7*$B$24/10^3</f>
        <v>42.4</v>
      </c>
      <c r="D32" s="2">
        <f t="shared" si="11"/>
        <v>41.6</v>
      </c>
      <c r="E32" s="2">
        <f t="shared" si="11"/>
        <v>41.075630252100844</v>
      </c>
      <c r="F32" s="2">
        <f t="shared" si="11"/>
        <v>40.557870206906294</v>
      </c>
      <c r="G32" s="2">
        <f t="shared" si="11"/>
        <v>40.046636548836048</v>
      </c>
      <c r="H32" s="2">
        <f t="shared" si="11"/>
        <v>39.541847012506182</v>
      </c>
      <c r="I32" s="2">
        <f t="shared" si="11"/>
        <v>39.043420369491393</v>
      </c>
      <c r="J32" s="2">
        <f t="shared" si="11"/>
        <v>38.551276415254115</v>
      </c>
      <c r="K32" s="2">
        <f t="shared" si="11"/>
        <v>38.065335956238307</v>
      </c>
      <c r="L32" s="2">
        <f t="shared" si="11"/>
        <v>37.585520797126058</v>
      </c>
      <c r="M32" s="2">
        <f t="shared" si="11"/>
        <v>37.111753728254726</v>
      </c>
      <c r="N32" s="2">
        <f t="shared" si="11"/>
        <v>36.643958513192693</v>
      </c>
      <c r="O32" s="2">
        <f t="shared" si="11"/>
        <v>36.207398468403682</v>
      </c>
      <c r="P32" s="2">
        <f t="shared" si="11"/>
        <v>35.776039408454714</v>
      </c>
      <c r="Q32" s="2">
        <f t="shared" si="11"/>
        <v>35.349819371094249</v>
      </c>
      <c r="R32" s="2">
        <f t="shared" si="11"/>
        <v>34.928677132261832</v>
      </c>
      <c r="S32" s="2">
        <f t="shared" si="11"/>
        <v>34.512552197293587</v>
      </c>
      <c r="T32" s="2">
        <f t="shared" si="11"/>
        <v>34.101384792232558</v>
      </c>
      <c r="U32" s="2">
        <f t="shared" si="11"/>
        <v>33.695115855242456</v>
      </c>
      <c r="V32" s="2">
        <f t="shared" si="11"/>
        <v>33.293687028123799</v>
      </c>
      <c r="W32" s="2">
        <f t="shared" si="11"/>
        <v>32.897040647931114</v>
      </c>
      <c r="X32" s="2">
        <f t="shared" si="11"/>
        <v>32.505119738689928</v>
      </c>
      <c r="Y32" s="2">
        <f t="shared" si="11"/>
        <v>32.117868003212557</v>
      </c>
      <c r="Z32" s="2">
        <f t="shared" si="11"/>
        <v>31.735229815011305</v>
      </c>
      <c r="AA32" s="2">
        <f t="shared" si="11"/>
        <v>31.357150210308038</v>
      </c>
      <c r="AB32" s="2">
        <f t="shared" si="11"/>
        <v>30.983574880138963</v>
      </c>
      <c r="AC32" s="2">
        <f t="shared" si="11"/>
        <v>30.61445016255346</v>
      </c>
      <c r="AD32" s="2">
        <f t="shared" si="11"/>
        <v>30.249723034905845</v>
      </c>
      <c r="AE32" s="2">
        <f t="shared" si="11"/>
        <v>29.889341106238959</v>
      </c>
      <c r="AF32" s="2">
        <f t="shared" si="11"/>
        <v>29.533252609758538</v>
      </c>
      <c r="AG32" s="2">
        <f t="shared" si="11"/>
        <v>29.181406395397186</v>
      </c>
      <c r="AH32" s="2">
        <f t="shared" si="11"/>
        <v>28.833751922466963</v>
      </c>
      <c r="AI32" s="2">
        <f t="shared" si="11"/>
        <v>28.490239252399522</v>
      </c>
      <c r="AJ32" s="2">
        <f t="shared" si="11"/>
        <v>28.150819041572699</v>
      </c>
      <c r="AK32" s="2">
        <f t="shared" si="11"/>
        <v>27.815442534222605</v>
      </c>
    </row>
    <row r="33" spans="1:46" x14ac:dyDescent="0.25">
      <c r="A33" t="s">
        <v>569</v>
      </c>
      <c r="B33" s="2">
        <f>K8*$B$25/10^3</f>
        <v>13.25</v>
      </c>
      <c r="C33" s="2">
        <f t="shared" ref="C33:AK33" si="12">L8*$B$25/10^3</f>
        <v>13.1</v>
      </c>
      <c r="D33" s="2">
        <f t="shared" si="12"/>
        <v>13.2</v>
      </c>
      <c r="E33" s="2">
        <f t="shared" si="12"/>
        <v>12.997639512508016</v>
      </c>
      <c r="F33" s="2">
        <f t="shared" si="12"/>
        <v>12.798381280084065</v>
      </c>
      <c r="G33" s="2">
        <f t="shared" si="12"/>
        <v>12.602177744103303</v>
      </c>
      <c r="H33" s="2">
        <f t="shared" si="12"/>
        <v>12.408982075030778</v>
      </c>
      <c r="I33" s="2">
        <f t="shared" si="12"/>
        <v>12.218748161244223</v>
      </c>
      <c r="J33" s="2">
        <f t="shared" si="12"/>
        <v>12.031430598028228</v>
      </c>
      <c r="K33" s="2">
        <f t="shared" si="12"/>
        <v>11.846984676737094</v>
      </c>
      <c r="L33" s="2">
        <f t="shared" si="12"/>
        <v>11.66536637412387</v>
      </c>
      <c r="M33" s="2">
        <f t="shared" si="12"/>
        <v>11.486532341832939</v>
      </c>
      <c r="N33" s="2">
        <f t="shared" si="12"/>
        <v>11.310439896053719</v>
      </c>
      <c r="O33" s="2">
        <f t="shared" si="12"/>
        <v>11.148532653738071</v>
      </c>
      <c r="P33" s="2">
        <f t="shared" si="12"/>
        <v>10.988943089192269</v>
      </c>
      <c r="Q33" s="2">
        <f t="shared" si="12"/>
        <v>10.831638025208376</v>
      </c>
      <c r="R33" s="2">
        <f t="shared" si="12"/>
        <v>10.676584759505186</v>
      </c>
      <c r="S33" s="2">
        <f t="shared" si="12"/>
        <v>10.523751057929715</v>
      </c>
      <c r="T33" s="2">
        <f t="shared" si="12"/>
        <v>10.373105147756032</v>
      </c>
      <c r="U33" s="2">
        <f t="shared" si="12"/>
        <v>10.224615711079975</v>
      </c>
      <c r="V33" s="2">
        <f t="shared" si="12"/>
        <v>10.078251878308468</v>
      </c>
      <c r="W33" s="2">
        <f t="shared" si="12"/>
        <v>9.9339832217420021</v>
      </c>
      <c r="X33" s="2">
        <f t="shared" si="12"/>
        <v>9.791779749249006</v>
      </c>
      <c r="Y33" s="2">
        <f t="shared" si="12"/>
        <v>9.6516118980307493</v>
      </c>
      <c r="Z33" s="2">
        <f t="shared" si="12"/>
        <v>9.5134505284755058</v>
      </c>
      <c r="AA33" s="2">
        <f t="shared" si="12"/>
        <v>9.3772669181007018</v>
      </c>
      <c r="AB33" s="2">
        <f t="shared" si="12"/>
        <v>9.2430327555817744</v>
      </c>
      <c r="AC33" s="2">
        <f t="shared" si="12"/>
        <v>9.1107201348665026</v>
      </c>
      <c r="AD33" s="2">
        <f t="shared" si="12"/>
        <v>8.9803015493735945</v>
      </c>
      <c r="AE33" s="2">
        <f t="shared" si="12"/>
        <v>8.8517498862743267</v>
      </c>
      <c r="AF33" s="2">
        <f t="shared" si="12"/>
        <v>8.7250384208560323</v>
      </c>
      <c r="AG33" s="2">
        <f t="shared" si="12"/>
        <v>8.6001408109662751</v>
      </c>
      <c r="AH33" s="2">
        <f t="shared" si="12"/>
        <v>8.4770310915365634</v>
      </c>
      <c r="AI33" s="2">
        <f t="shared" si="12"/>
        <v>8.3556836691844438</v>
      </c>
      <c r="AJ33" s="2">
        <f t="shared" si="12"/>
        <v>8.2360733168928792</v>
      </c>
      <c r="AK33" s="2">
        <f t="shared" si="12"/>
        <v>8.118175168765779</v>
      </c>
    </row>
    <row r="34" spans="1:46" x14ac:dyDescent="0.25">
      <c r="A34" t="s">
        <v>570</v>
      </c>
      <c r="B34" s="2">
        <v>61</v>
      </c>
      <c r="C34" s="2">
        <v>61</v>
      </c>
      <c r="D34" s="2">
        <v>61</v>
      </c>
      <c r="E34" s="2">
        <v>61</v>
      </c>
      <c r="F34" s="2">
        <v>61</v>
      </c>
      <c r="G34" s="2">
        <v>61</v>
      </c>
      <c r="H34" s="2">
        <v>61</v>
      </c>
      <c r="I34" s="2">
        <v>61</v>
      </c>
      <c r="J34" s="2">
        <v>61</v>
      </c>
      <c r="K34" s="2">
        <v>61</v>
      </c>
      <c r="L34" s="2">
        <v>61</v>
      </c>
      <c r="M34" s="2">
        <v>61</v>
      </c>
      <c r="N34" s="2">
        <v>61</v>
      </c>
      <c r="O34" s="2">
        <v>61</v>
      </c>
      <c r="P34" s="2">
        <v>61</v>
      </c>
      <c r="Q34" s="2">
        <v>61</v>
      </c>
      <c r="R34" s="2">
        <v>61</v>
      </c>
      <c r="S34" s="2">
        <v>61</v>
      </c>
      <c r="T34" s="2">
        <v>61</v>
      </c>
      <c r="U34" s="2">
        <v>61</v>
      </c>
      <c r="V34" s="2">
        <v>61</v>
      </c>
      <c r="W34" s="2">
        <v>61</v>
      </c>
      <c r="X34" s="2">
        <v>61</v>
      </c>
      <c r="Y34" s="2">
        <v>61</v>
      </c>
      <c r="Z34" s="2">
        <v>61</v>
      </c>
      <c r="AA34" s="2">
        <v>61</v>
      </c>
      <c r="AB34" s="2">
        <v>61</v>
      </c>
      <c r="AC34" s="2">
        <v>61</v>
      </c>
      <c r="AD34" s="2">
        <v>61</v>
      </c>
      <c r="AE34" s="2">
        <v>61</v>
      </c>
      <c r="AF34" s="2">
        <v>61</v>
      </c>
      <c r="AG34" s="2">
        <v>61</v>
      </c>
      <c r="AH34" s="2">
        <v>61</v>
      </c>
      <c r="AI34" s="2">
        <v>61</v>
      </c>
      <c r="AJ34" s="2">
        <v>61</v>
      </c>
      <c r="AK34" s="2">
        <v>61</v>
      </c>
    </row>
    <row r="35" spans="1:46" x14ac:dyDescent="0.25">
      <c r="A35" t="s">
        <v>571</v>
      </c>
      <c r="B35" s="2">
        <v>13</v>
      </c>
      <c r="C35" s="2">
        <v>13</v>
      </c>
      <c r="D35" s="2">
        <v>13</v>
      </c>
      <c r="E35" s="2">
        <v>13</v>
      </c>
      <c r="F35" s="2">
        <v>13</v>
      </c>
      <c r="G35" s="2">
        <v>13</v>
      </c>
      <c r="H35" s="2">
        <v>13</v>
      </c>
      <c r="I35" s="2">
        <v>13</v>
      </c>
      <c r="J35" s="2">
        <v>13</v>
      </c>
      <c r="K35" s="2">
        <v>13</v>
      </c>
      <c r="L35" s="2">
        <v>13</v>
      </c>
      <c r="M35" s="2">
        <v>13</v>
      </c>
      <c r="N35" s="2">
        <v>13</v>
      </c>
      <c r="O35" s="2">
        <v>13</v>
      </c>
      <c r="P35" s="2">
        <v>13</v>
      </c>
      <c r="Q35" s="2">
        <v>13</v>
      </c>
      <c r="R35" s="2">
        <v>13</v>
      </c>
      <c r="S35" s="2">
        <v>13</v>
      </c>
      <c r="T35" s="2">
        <v>13</v>
      </c>
      <c r="U35" s="2">
        <v>13</v>
      </c>
      <c r="V35" s="2">
        <v>13</v>
      </c>
      <c r="W35" s="2">
        <v>13</v>
      </c>
      <c r="X35" s="2">
        <v>13</v>
      </c>
      <c r="Y35" s="2">
        <v>13</v>
      </c>
      <c r="Z35" s="2">
        <v>13</v>
      </c>
      <c r="AA35" s="2">
        <v>13</v>
      </c>
      <c r="AB35" s="2">
        <v>13</v>
      </c>
      <c r="AC35" s="2">
        <v>13</v>
      </c>
      <c r="AD35" s="2">
        <v>13</v>
      </c>
      <c r="AE35" s="2">
        <v>13</v>
      </c>
      <c r="AF35" s="2">
        <v>13</v>
      </c>
      <c r="AG35" s="2">
        <v>13</v>
      </c>
      <c r="AH35" s="2">
        <v>13</v>
      </c>
      <c r="AI35" s="2">
        <v>13</v>
      </c>
      <c r="AJ35" s="2">
        <v>13</v>
      </c>
      <c r="AK35" s="2">
        <v>13</v>
      </c>
    </row>
    <row r="36" spans="1:46" x14ac:dyDescent="0.25">
      <c r="A36" t="s">
        <v>572</v>
      </c>
      <c r="B36" s="2">
        <v>3</v>
      </c>
      <c r="C36" s="2">
        <v>3</v>
      </c>
      <c r="D36" s="2">
        <v>3</v>
      </c>
      <c r="E36" s="2">
        <v>3</v>
      </c>
      <c r="F36" s="2">
        <v>3</v>
      </c>
      <c r="G36" s="2">
        <v>3</v>
      </c>
      <c r="H36" s="2">
        <v>3</v>
      </c>
      <c r="I36" s="2">
        <v>3</v>
      </c>
      <c r="J36" s="2">
        <v>3</v>
      </c>
      <c r="K36" s="2">
        <v>3</v>
      </c>
      <c r="L36" s="2">
        <v>3</v>
      </c>
      <c r="M36" s="2">
        <v>3</v>
      </c>
      <c r="N36" s="2">
        <v>3</v>
      </c>
      <c r="O36" s="2">
        <v>3</v>
      </c>
      <c r="P36" s="2">
        <v>3</v>
      </c>
      <c r="Q36" s="2">
        <v>3</v>
      </c>
      <c r="R36" s="2">
        <v>3</v>
      </c>
      <c r="S36" s="2">
        <v>3</v>
      </c>
      <c r="T36" s="2">
        <v>3</v>
      </c>
      <c r="U36" s="2">
        <v>3</v>
      </c>
      <c r="V36" s="2">
        <v>3</v>
      </c>
      <c r="W36" s="2">
        <v>3</v>
      </c>
      <c r="X36" s="2">
        <v>3</v>
      </c>
      <c r="Y36" s="2">
        <v>3</v>
      </c>
      <c r="Z36" s="2">
        <v>3</v>
      </c>
      <c r="AA36" s="2">
        <v>3</v>
      </c>
      <c r="AB36" s="2">
        <v>3</v>
      </c>
      <c r="AC36" s="2">
        <v>3</v>
      </c>
      <c r="AD36" s="2">
        <v>3</v>
      </c>
      <c r="AE36" s="2">
        <v>3</v>
      </c>
      <c r="AF36" s="2">
        <v>3</v>
      </c>
      <c r="AG36" s="2">
        <v>3</v>
      </c>
      <c r="AH36" s="2">
        <v>3</v>
      </c>
      <c r="AI36" s="2">
        <v>3</v>
      </c>
      <c r="AJ36" s="2">
        <v>3</v>
      </c>
      <c r="AK36" s="2">
        <v>3</v>
      </c>
    </row>
    <row r="38" spans="1:46" x14ac:dyDescent="0.25">
      <c r="A38" s="73" t="s">
        <v>287</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row>
    <row r="39" spans="1:46" x14ac:dyDescent="0.25">
      <c r="A39" s="55" t="s">
        <v>591</v>
      </c>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row>
    <row r="40" spans="1:46" x14ac:dyDescent="0.25">
      <c r="B40">
        <v>2006</v>
      </c>
      <c r="C40">
        <v>2007</v>
      </c>
      <c r="D40">
        <v>2008</v>
      </c>
      <c r="E40">
        <v>2009</v>
      </c>
      <c r="F40">
        <v>2010</v>
      </c>
      <c r="G40">
        <v>2011</v>
      </c>
      <c r="H40">
        <v>2012</v>
      </c>
      <c r="I40">
        <v>2013</v>
      </c>
      <c r="J40">
        <v>2014</v>
      </c>
      <c r="K40">
        <v>2015</v>
      </c>
      <c r="L40">
        <v>2016</v>
      </c>
    </row>
    <row r="41" spans="1:46" x14ac:dyDescent="0.25">
      <c r="A41" t="s">
        <v>565</v>
      </c>
      <c r="B41">
        <v>1101</v>
      </c>
      <c r="C41">
        <v>1224</v>
      </c>
      <c r="D41">
        <v>1238</v>
      </c>
      <c r="E41">
        <v>1233</v>
      </c>
      <c r="F41">
        <v>1239</v>
      </c>
      <c r="G41">
        <v>1297</v>
      </c>
      <c r="H41">
        <v>1373</v>
      </c>
      <c r="I41">
        <v>1338</v>
      </c>
      <c r="J41">
        <v>1361</v>
      </c>
      <c r="K41">
        <v>1391</v>
      </c>
      <c r="L41">
        <v>1413</v>
      </c>
    </row>
    <row r="42" spans="1:46" x14ac:dyDescent="0.25">
      <c r="A42" t="s">
        <v>566</v>
      </c>
      <c r="B42">
        <v>138</v>
      </c>
      <c r="C42">
        <v>136</v>
      </c>
      <c r="D42">
        <v>132</v>
      </c>
      <c r="E42">
        <v>131</v>
      </c>
      <c r="F42">
        <v>134</v>
      </c>
      <c r="G42">
        <v>131</v>
      </c>
      <c r="H42">
        <v>128</v>
      </c>
      <c r="I42">
        <v>121</v>
      </c>
      <c r="J42">
        <v>120</v>
      </c>
      <c r="K42">
        <v>126</v>
      </c>
      <c r="L42">
        <v>130</v>
      </c>
    </row>
    <row r="43" spans="1:46" x14ac:dyDescent="0.25">
      <c r="A43" t="s">
        <v>567</v>
      </c>
      <c r="B43">
        <v>901</v>
      </c>
      <c r="C43">
        <v>982</v>
      </c>
      <c r="D43">
        <v>938</v>
      </c>
      <c r="E43">
        <v>896</v>
      </c>
      <c r="F43">
        <v>948</v>
      </c>
      <c r="G43">
        <v>949</v>
      </c>
      <c r="H43">
        <v>982</v>
      </c>
      <c r="I43">
        <v>930</v>
      </c>
      <c r="J43">
        <v>890</v>
      </c>
      <c r="K43">
        <v>985</v>
      </c>
      <c r="L43">
        <v>1014</v>
      </c>
    </row>
    <row r="44" spans="1:46" x14ac:dyDescent="0.25">
      <c r="A44" t="s">
        <v>568</v>
      </c>
      <c r="B44">
        <v>3</v>
      </c>
      <c r="C44">
        <v>3</v>
      </c>
      <c r="D44">
        <v>3</v>
      </c>
      <c r="E44">
        <v>3</v>
      </c>
      <c r="F44">
        <v>3</v>
      </c>
      <c r="G44">
        <v>3</v>
      </c>
      <c r="H44">
        <v>3</v>
      </c>
      <c r="I44">
        <v>3</v>
      </c>
      <c r="J44">
        <v>3</v>
      </c>
      <c r="K44">
        <v>3</v>
      </c>
      <c r="L44">
        <v>3</v>
      </c>
    </row>
    <row r="45" spans="1:46" x14ac:dyDescent="0.25">
      <c r="A45" t="s">
        <v>569</v>
      </c>
      <c r="B45">
        <v>1</v>
      </c>
      <c r="C45">
        <v>1</v>
      </c>
      <c r="D45">
        <v>1</v>
      </c>
      <c r="E45">
        <v>1</v>
      </c>
      <c r="F45">
        <v>1</v>
      </c>
      <c r="G45">
        <v>1</v>
      </c>
      <c r="H45">
        <v>1</v>
      </c>
      <c r="I45">
        <v>1</v>
      </c>
      <c r="J45">
        <v>1</v>
      </c>
      <c r="K45">
        <v>1</v>
      </c>
      <c r="L45">
        <v>1</v>
      </c>
    </row>
    <row r="46" spans="1:46" x14ac:dyDescent="0.25">
      <c r="A46" t="s">
        <v>588</v>
      </c>
      <c r="B46">
        <v>131</v>
      </c>
      <c r="C46">
        <v>134</v>
      </c>
      <c r="D46">
        <v>129</v>
      </c>
      <c r="E46">
        <v>128</v>
      </c>
      <c r="F46">
        <v>129</v>
      </c>
      <c r="G46">
        <v>127</v>
      </c>
      <c r="H46">
        <v>128</v>
      </c>
      <c r="I46">
        <v>128</v>
      </c>
      <c r="J46">
        <v>131</v>
      </c>
      <c r="K46">
        <v>135</v>
      </c>
      <c r="L46">
        <v>138</v>
      </c>
    </row>
    <row r="47" spans="1:46" x14ac:dyDescent="0.25">
      <c r="A47" t="s">
        <v>570</v>
      </c>
      <c r="B47">
        <v>27</v>
      </c>
      <c r="C47">
        <v>27</v>
      </c>
      <c r="D47">
        <v>24</v>
      </c>
      <c r="E47">
        <v>24</v>
      </c>
      <c r="F47">
        <v>24</v>
      </c>
      <c r="G47">
        <v>10</v>
      </c>
      <c r="H47">
        <v>10</v>
      </c>
      <c r="I47">
        <v>9</v>
      </c>
      <c r="J47">
        <v>9</v>
      </c>
      <c r="K47">
        <v>9</v>
      </c>
      <c r="L47">
        <v>9</v>
      </c>
    </row>
    <row r="49" spans="1:37" x14ac:dyDescent="0.25">
      <c r="A49" s="55" t="s">
        <v>592</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row>
    <row r="50" spans="1:37" x14ac:dyDescent="0.25">
      <c r="B50">
        <v>2006</v>
      </c>
      <c r="C50">
        <v>2007</v>
      </c>
      <c r="D50">
        <v>2008</v>
      </c>
      <c r="E50">
        <v>2009</v>
      </c>
      <c r="F50">
        <v>2010</v>
      </c>
      <c r="G50">
        <v>2011</v>
      </c>
      <c r="H50">
        <v>2012</v>
      </c>
      <c r="I50">
        <v>2013</v>
      </c>
      <c r="J50">
        <v>2014</v>
      </c>
      <c r="K50">
        <v>2015</v>
      </c>
      <c r="L50">
        <v>2016</v>
      </c>
    </row>
    <row r="51" spans="1:37" x14ac:dyDescent="0.25">
      <c r="A51" t="s">
        <v>565</v>
      </c>
      <c r="B51">
        <v>19</v>
      </c>
      <c r="C51">
        <v>19</v>
      </c>
      <c r="D51">
        <v>19</v>
      </c>
      <c r="E51">
        <v>19</v>
      </c>
      <c r="F51">
        <v>19</v>
      </c>
      <c r="G51">
        <v>19</v>
      </c>
      <c r="H51">
        <v>20</v>
      </c>
      <c r="I51">
        <v>20</v>
      </c>
      <c r="J51">
        <v>20</v>
      </c>
      <c r="K51">
        <v>20</v>
      </c>
      <c r="L51">
        <v>21</v>
      </c>
    </row>
    <row r="52" spans="1:37" x14ac:dyDescent="0.25">
      <c r="A52" t="s">
        <v>566</v>
      </c>
      <c r="B52">
        <v>27</v>
      </c>
      <c r="C52">
        <v>27</v>
      </c>
      <c r="D52">
        <v>26</v>
      </c>
      <c r="E52">
        <v>26</v>
      </c>
      <c r="F52">
        <v>27</v>
      </c>
      <c r="G52">
        <v>26</v>
      </c>
      <c r="H52">
        <v>26</v>
      </c>
      <c r="I52">
        <v>26</v>
      </c>
      <c r="J52">
        <v>26</v>
      </c>
      <c r="K52">
        <v>26</v>
      </c>
      <c r="L52">
        <v>27</v>
      </c>
    </row>
    <row r="53" spans="1:37" x14ac:dyDescent="0.25">
      <c r="A53" t="s">
        <v>567</v>
      </c>
      <c r="B53">
        <v>6</v>
      </c>
      <c r="C53">
        <v>6</v>
      </c>
      <c r="D53">
        <v>6</v>
      </c>
      <c r="E53">
        <v>6</v>
      </c>
      <c r="F53">
        <v>6</v>
      </c>
      <c r="G53">
        <v>6</v>
      </c>
      <c r="H53">
        <v>6</v>
      </c>
      <c r="I53">
        <v>6</v>
      </c>
      <c r="J53">
        <v>6</v>
      </c>
      <c r="K53">
        <v>7</v>
      </c>
      <c r="L53">
        <v>7</v>
      </c>
    </row>
    <row r="54" spans="1:37" x14ac:dyDescent="0.25">
      <c r="A54" t="s">
        <v>568</v>
      </c>
      <c r="B54">
        <v>1</v>
      </c>
      <c r="C54">
        <v>1</v>
      </c>
      <c r="D54">
        <v>1</v>
      </c>
      <c r="E54">
        <v>1</v>
      </c>
      <c r="F54">
        <v>1</v>
      </c>
      <c r="G54">
        <v>1</v>
      </c>
      <c r="H54">
        <v>1</v>
      </c>
      <c r="I54">
        <v>1</v>
      </c>
      <c r="J54">
        <v>1</v>
      </c>
      <c r="K54">
        <v>1</v>
      </c>
      <c r="L54">
        <v>1</v>
      </c>
    </row>
    <row r="55" spans="1:37" x14ac:dyDescent="0.25">
      <c r="A55" t="s">
        <v>569</v>
      </c>
      <c r="B55">
        <v>0</v>
      </c>
      <c r="C55">
        <v>0</v>
      </c>
      <c r="D55">
        <v>0</v>
      </c>
      <c r="E55">
        <v>0</v>
      </c>
      <c r="F55">
        <v>0</v>
      </c>
      <c r="G55">
        <v>0</v>
      </c>
      <c r="H55">
        <v>0</v>
      </c>
      <c r="I55">
        <v>0</v>
      </c>
      <c r="J55">
        <v>0</v>
      </c>
      <c r="K55">
        <v>0</v>
      </c>
      <c r="L55">
        <v>0</v>
      </c>
    </row>
    <row r="56" spans="1:37" x14ac:dyDescent="0.25">
      <c r="A56" t="s">
        <v>588</v>
      </c>
      <c r="B56">
        <v>5</v>
      </c>
      <c r="C56">
        <v>5</v>
      </c>
      <c r="D56">
        <v>5</v>
      </c>
      <c r="E56">
        <v>5</v>
      </c>
      <c r="F56">
        <v>5</v>
      </c>
      <c r="G56">
        <v>5</v>
      </c>
      <c r="H56">
        <v>5</v>
      </c>
      <c r="I56">
        <v>5</v>
      </c>
      <c r="J56">
        <v>5</v>
      </c>
      <c r="K56">
        <v>5</v>
      </c>
      <c r="L56">
        <v>5</v>
      </c>
    </row>
    <row r="57" spans="1:37" x14ac:dyDescent="0.25">
      <c r="A57" t="s">
        <v>570</v>
      </c>
      <c r="B57">
        <v>1</v>
      </c>
      <c r="C57">
        <v>1</v>
      </c>
      <c r="D57">
        <v>1</v>
      </c>
      <c r="E57">
        <v>1</v>
      </c>
      <c r="F57">
        <v>1</v>
      </c>
      <c r="G57">
        <v>0</v>
      </c>
      <c r="H57">
        <v>0</v>
      </c>
      <c r="I57">
        <v>0</v>
      </c>
      <c r="J57">
        <v>0</v>
      </c>
      <c r="K57">
        <v>0</v>
      </c>
      <c r="L57">
        <v>0</v>
      </c>
    </row>
    <row r="59" spans="1:37" x14ac:dyDescent="0.25">
      <c r="A59" s="55" t="s">
        <v>594</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row>
    <row r="60" spans="1:37" x14ac:dyDescent="0.25">
      <c r="B60">
        <v>2012</v>
      </c>
      <c r="C60">
        <v>2013</v>
      </c>
      <c r="D60">
        <v>2014</v>
      </c>
      <c r="E60">
        <v>2015</v>
      </c>
      <c r="F60">
        <v>2016</v>
      </c>
      <c r="G60" t="s">
        <v>581</v>
      </c>
    </row>
    <row r="61" spans="1:37" x14ac:dyDescent="0.25">
      <c r="A61" t="s">
        <v>565</v>
      </c>
      <c r="B61" s="66">
        <f t="shared" ref="B61:B66" si="13">H41/H4</f>
        <v>0.1487621214583672</v>
      </c>
      <c r="C61" s="66">
        <f t="shared" ref="C61:F61" si="14">I41/I4</f>
        <v>0.14515236659108907</v>
      </c>
      <c r="D61" s="66">
        <f t="shared" si="14"/>
        <v>0.14623558864928171</v>
      </c>
      <c r="E61" s="66">
        <f t="shared" si="14"/>
        <v>0.14929698400772781</v>
      </c>
      <c r="F61" s="66">
        <f t="shared" si="14"/>
        <v>0.1514794168096055</v>
      </c>
      <c r="G61" s="66" t="s">
        <v>593</v>
      </c>
    </row>
    <row r="62" spans="1:37" x14ac:dyDescent="0.25">
      <c r="A62" t="s">
        <v>566</v>
      </c>
      <c r="B62" s="66">
        <f t="shared" si="13"/>
        <v>1.4101808446762918E-3</v>
      </c>
      <c r="C62" s="66">
        <f t="shared" ref="C62:F62" si="15">I42/I5</f>
        <v>1.3430238236887204E-3</v>
      </c>
      <c r="D62" s="66">
        <f t="shared" si="15"/>
        <v>1.3555339674220003E-3</v>
      </c>
      <c r="E62" s="66">
        <f t="shared" si="15"/>
        <v>1.4134592733024466E-3</v>
      </c>
      <c r="F62" s="66">
        <f t="shared" si="15"/>
        <v>1.4143040536130028E-3</v>
      </c>
      <c r="G62" s="66">
        <f>AVERAGE(B62:F62)</f>
        <v>1.3873003925404922E-3</v>
      </c>
    </row>
    <row r="63" spans="1:37" x14ac:dyDescent="0.25">
      <c r="A63" t="s">
        <v>567</v>
      </c>
      <c r="B63" s="66">
        <f t="shared" si="13"/>
        <v>1.5122349353989251E-2</v>
      </c>
      <c r="C63" s="66">
        <f t="shared" ref="C63:F63" si="16">I43/I6</f>
        <v>1.4291861322842389E-2</v>
      </c>
      <c r="D63" s="66">
        <f t="shared" si="16"/>
        <v>1.447295671122386E-2</v>
      </c>
      <c r="E63" s="66">
        <f t="shared" si="16"/>
        <v>1.4533168083097261E-2</v>
      </c>
      <c r="F63" s="66">
        <f t="shared" si="16"/>
        <v>1.4712923867148392E-2</v>
      </c>
      <c r="G63" s="66" t="s">
        <v>593</v>
      </c>
    </row>
    <row r="64" spans="1:37" x14ac:dyDescent="0.25">
      <c r="A64" t="s">
        <v>568</v>
      </c>
      <c r="B64" s="66">
        <f t="shared" si="13"/>
        <v>5.5917986952469707E-4</v>
      </c>
      <c r="C64" s="66">
        <f t="shared" ref="C64:F64" si="17">I44/I7</f>
        <v>5.6232427366447986E-4</v>
      </c>
      <c r="D64" s="66">
        <f t="shared" si="17"/>
        <v>5.7197330791229747E-4</v>
      </c>
      <c r="E64" s="66">
        <f t="shared" si="17"/>
        <v>5.6818181818181815E-4</v>
      </c>
      <c r="F64" s="66">
        <f t="shared" si="17"/>
        <v>5.6603773584905663E-4</v>
      </c>
      <c r="G64" s="66">
        <f t="shared" ref="G64:G65" si="18">AVERAGE(B64:F64)</f>
        <v>5.6553940102646995E-4</v>
      </c>
    </row>
    <row r="65" spans="1:37" x14ac:dyDescent="0.25">
      <c r="A65" t="s">
        <v>569</v>
      </c>
      <c r="B65" s="66">
        <f t="shared" si="13"/>
        <v>3.4940600978336826E-4</v>
      </c>
      <c r="C65" s="66">
        <f t="shared" ref="C65:F65" si="19">I45/I8</f>
        <v>3.5574528637495552E-4</v>
      </c>
      <c r="D65" s="66">
        <f t="shared" si="19"/>
        <v>3.8299502106472615E-4</v>
      </c>
      <c r="E65" s="66">
        <f t="shared" si="19"/>
        <v>3.7735849056603772E-4</v>
      </c>
      <c r="F65" s="66">
        <f t="shared" si="19"/>
        <v>3.816793893129771E-4</v>
      </c>
      <c r="G65" s="66">
        <f t="shared" si="18"/>
        <v>3.6943683942041296E-4</v>
      </c>
    </row>
    <row r="66" spans="1:37" x14ac:dyDescent="0.25">
      <c r="A66" t="s">
        <v>588</v>
      </c>
      <c r="B66" s="66">
        <f t="shared" si="13"/>
        <v>2.5937412537221202E-3</v>
      </c>
      <c r="C66" s="66">
        <f t="shared" ref="C66:F66" si="20">I46/I9</f>
        <v>2.5418129723291686E-3</v>
      </c>
      <c r="D66" s="66">
        <f t="shared" si="20"/>
        <v>2.5583651460831382E-3</v>
      </c>
      <c r="E66" s="66">
        <f t="shared" si="20"/>
        <v>3.4073700151438669E-3</v>
      </c>
      <c r="F66" s="66">
        <f t="shared" si="20"/>
        <v>3.347645731751692E-3</v>
      </c>
      <c r="G66" s="66">
        <f>AVERAGE(B66:F66)*J9/K9</f>
        <v>3.7347379201035074E-3</v>
      </c>
    </row>
    <row r="67" spans="1:37" x14ac:dyDescent="0.25">
      <c r="A67" t="s">
        <v>570</v>
      </c>
      <c r="B67" t="s">
        <v>593</v>
      </c>
      <c r="C67" t="s">
        <v>593</v>
      </c>
      <c r="D67" t="s">
        <v>593</v>
      </c>
      <c r="E67" t="s">
        <v>593</v>
      </c>
      <c r="F67" t="s">
        <v>593</v>
      </c>
      <c r="G67" t="s">
        <v>593</v>
      </c>
    </row>
    <row r="69" spans="1:37" x14ac:dyDescent="0.25">
      <c r="A69" s="55" t="s">
        <v>595</v>
      </c>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row>
    <row r="70" spans="1:37" x14ac:dyDescent="0.25">
      <c r="B70">
        <v>2012</v>
      </c>
      <c r="C70">
        <v>2013</v>
      </c>
      <c r="D70">
        <v>2014</v>
      </c>
      <c r="E70">
        <v>2015</v>
      </c>
      <c r="F70">
        <v>2016</v>
      </c>
      <c r="G70" t="s">
        <v>581</v>
      </c>
    </row>
    <row r="71" spans="1:37" x14ac:dyDescent="0.25">
      <c r="A71" t="s">
        <v>565</v>
      </c>
      <c r="B71" s="66">
        <f t="shared" ref="B71:B76" si="21">H51/H4</f>
        <v>2.1669646243025081E-3</v>
      </c>
      <c r="C71" s="66">
        <f t="shared" ref="C71:F71" si="22">I51/I4</f>
        <v>2.1696915783421386E-3</v>
      </c>
      <c r="D71" s="66">
        <f t="shared" si="22"/>
        <v>2.1489432571532951E-3</v>
      </c>
      <c r="E71" s="66">
        <f t="shared" si="22"/>
        <v>2.1466137168616507E-3</v>
      </c>
      <c r="F71" s="66">
        <f t="shared" si="22"/>
        <v>2.2512864493996572E-3</v>
      </c>
      <c r="G71" s="66" t="s">
        <v>593</v>
      </c>
    </row>
    <row r="72" spans="1:37" x14ac:dyDescent="0.25">
      <c r="A72" t="s">
        <v>566</v>
      </c>
      <c r="B72" s="66">
        <f t="shared" si="21"/>
        <v>2.8644298407487181E-4</v>
      </c>
      <c r="C72" s="66">
        <f t="shared" ref="C72:F72" si="23">I52/I5</f>
        <v>2.8858363153641927E-4</v>
      </c>
      <c r="D72" s="66">
        <f t="shared" si="23"/>
        <v>2.9369902627476673E-4</v>
      </c>
      <c r="E72" s="66">
        <f t="shared" si="23"/>
        <v>2.9166619925288583E-4</v>
      </c>
      <c r="F72" s="66">
        <f t="shared" si="23"/>
        <v>2.9374007267346985E-4</v>
      </c>
      <c r="G72" s="66">
        <f>AVERAGE(B72:F72)</f>
        <v>2.9082638276248273E-4</v>
      </c>
    </row>
    <row r="73" spans="1:37" x14ac:dyDescent="0.25">
      <c r="A73" t="s">
        <v>567</v>
      </c>
      <c r="B73" s="66">
        <f t="shared" si="21"/>
        <v>9.2397246562052449E-5</v>
      </c>
      <c r="C73" s="66">
        <f t="shared" ref="C73:F73" si="24">I53/I6</f>
        <v>9.22055569215638E-5</v>
      </c>
      <c r="D73" s="66">
        <f t="shared" si="24"/>
        <v>9.7570494682408036E-5</v>
      </c>
      <c r="E73" s="66">
        <f t="shared" si="24"/>
        <v>1.0328139754485363E-4</v>
      </c>
      <c r="F73" s="66">
        <f t="shared" si="24"/>
        <v>1.0156850795861809E-4</v>
      </c>
      <c r="G73" s="66" t="s">
        <v>593</v>
      </c>
    </row>
    <row r="74" spans="1:37" x14ac:dyDescent="0.25">
      <c r="A74" t="s">
        <v>568</v>
      </c>
      <c r="B74" s="66">
        <f t="shared" si="21"/>
        <v>1.8639328984156571E-4</v>
      </c>
      <c r="C74" s="66">
        <f t="shared" ref="C74:F74" si="25">I54/I7</f>
        <v>1.8744142455482662E-4</v>
      </c>
      <c r="D74" s="66">
        <f t="shared" si="25"/>
        <v>1.9065776930409913E-4</v>
      </c>
      <c r="E74" s="66">
        <f t="shared" si="25"/>
        <v>1.8939393939393939E-4</v>
      </c>
      <c r="F74" s="66">
        <f t="shared" si="25"/>
        <v>1.8867924528301886E-4</v>
      </c>
      <c r="G74" s="66">
        <f t="shared" ref="G74:G75" si="26">AVERAGE(B74:F74)</f>
        <v>1.8851313367548996E-4</v>
      </c>
    </row>
    <row r="75" spans="1:37" x14ac:dyDescent="0.25">
      <c r="A75" t="s">
        <v>569</v>
      </c>
      <c r="B75" s="66">
        <f t="shared" si="21"/>
        <v>0</v>
      </c>
      <c r="C75" s="66">
        <f t="shared" ref="C75:F75" si="27">I55/I8</f>
        <v>0</v>
      </c>
      <c r="D75" s="66">
        <f t="shared" si="27"/>
        <v>0</v>
      </c>
      <c r="E75" s="66">
        <f t="shared" si="27"/>
        <v>0</v>
      </c>
      <c r="F75" s="66">
        <f t="shared" si="27"/>
        <v>0</v>
      </c>
      <c r="G75" s="66">
        <f t="shared" si="26"/>
        <v>0</v>
      </c>
    </row>
    <row r="76" spans="1:37" x14ac:dyDescent="0.25">
      <c r="A76" t="s">
        <v>588</v>
      </c>
      <c r="B76" s="66">
        <f t="shared" si="21"/>
        <v>1.0131801772352032E-4</v>
      </c>
      <c r="C76" s="66">
        <f t="shared" ref="C76:F76" si="28">I56/I9</f>
        <v>9.9289569231608157E-5</v>
      </c>
      <c r="D76" s="66">
        <f t="shared" si="28"/>
        <v>9.7647524659661767E-5</v>
      </c>
      <c r="E76" s="66">
        <f t="shared" si="28"/>
        <v>1.2619888944977284E-4</v>
      </c>
      <c r="F76" s="66">
        <f t="shared" si="28"/>
        <v>1.2129151201998884E-4</v>
      </c>
      <c r="G76" s="66">
        <f>AVERAGE(B76:F76)*J9/K9</f>
        <v>1.410634379386745E-4</v>
      </c>
      <c r="H76" t="s">
        <v>599</v>
      </c>
    </row>
    <row r="77" spans="1:37" x14ac:dyDescent="0.25">
      <c r="A77" t="s">
        <v>570</v>
      </c>
      <c r="B77" t="s">
        <v>593</v>
      </c>
      <c r="C77" t="s">
        <v>593</v>
      </c>
      <c r="D77" t="s">
        <v>593</v>
      </c>
      <c r="E77" t="s">
        <v>593</v>
      </c>
      <c r="F77" t="s">
        <v>593</v>
      </c>
      <c r="G77" t="s">
        <v>593</v>
      </c>
    </row>
    <row r="79" spans="1:37" x14ac:dyDescent="0.25">
      <c r="A79" s="55" t="s">
        <v>596</v>
      </c>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row>
    <row r="80" spans="1:37" x14ac:dyDescent="0.25">
      <c r="B80">
        <v>2016</v>
      </c>
      <c r="C80">
        <v>2017</v>
      </c>
      <c r="D80">
        <v>2018</v>
      </c>
      <c r="E80">
        <v>2019</v>
      </c>
      <c r="F80">
        <v>2020</v>
      </c>
      <c r="G80">
        <v>2021</v>
      </c>
      <c r="H80">
        <v>2022</v>
      </c>
      <c r="I80">
        <v>2023</v>
      </c>
      <c r="J80">
        <v>2024</v>
      </c>
      <c r="K80">
        <v>2025</v>
      </c>
      <c r="L80">
        <v>2026</v>
      </c>
      <c r="M80">
        <v>2027</v>
      </c>
      <c r="N80">
        <v>2028</v>
      </c>
      <c r="O80">
        <v>2029</v>
      </c>
      <c r="P80">
        <v>2030</v>
      </c>
      <c r="Q80">
        <v>2031</v>
      </c>
      <c r="R80">
        <v>2032</v>
      </c>
      <c r="S80">
        <v>2033</v>
      </c>
      <c r="T80">
        <v>2034</v>
      </c>
      <c r="U80">
        <v>2035</v>
      </c>
      <c r="V80">
        <v>2036</v>
      </c>
      <c r="W80">
        <v>2037</v>
      </c>
      <c r="X80">
        <v>2038</v>
      </c>
      <c r="Y80">
        <v>2039</v>
      </c>
      <c r="Z80">
        <v>2040</v>
      </c>
      <c r="AA80">
        <v>2041</v>
      </c>
      <c r="AB80">
        <v>2042</v>
      </c>
      <c r="AC80">
        <v>2043</v>
      </c>
      <c r="AD80">
        <v>2044</v>
      </c>
      <c r="AE80">
        <v>2045</v>
      </c>
      <c r="AF80">
        <v>2046</v>
      </c>
      <c r="AG80">
        <v>2047</v>
      </c>
      <c r="AH80">
        <v>2048</v>
      </c>
      <c r="AI80">
        <v>2049</v>
      </c>
      <c r="AJ80">
        <v>2050</v>
      </c>
    </row>
    <row r="81" spans="1:37" x14ac:dyDescent="0.25">
      <c r="A81" t="s">
        <v>565</v>
      </c>
      <c r="B81" s="66">
        <f>L41/L4</f>
        <v>0.1514794168096055</v>
      </c>
      <c r="C81" s="66">
        <f>B81*(1+($L$41/$L$4-$C$41/$C$4)/($C$41/$C$4)/10)</f>
        <v>0.15345100104886103</v>
      </c>
      <c r="D81" s="66">
        <f t="shared" ref="D81:AJ81" si="29">C81*(1+($L$41/$L$4-$C$41/$C$4)/($C$41/$C$4)/10)</f>
        <v>0.15544824649340999</v>
      </c>
      <c r="E81" s="66">
        <f t="shared" si="29"/>
        <v>0.15747148713732881</v>
      </c>
      <c r="F81" s="66">
        <f t="shared" si="29"/>
        <v>0.15952106132180241</v>
      </c>
      <c r="G81" s="66">
        <f t="shared" si="29"/>
        <v>0.16159731179170411</v>
      </c>
      <c r="H81" s="66">
        <f t="shared" si="29"/>
        <v>0.16370058575291191</v>
      </c>
      <c r="I81" s="66">
        <f t="shared" si="29"/>
        <v>0.1658312349303708</v>
      </c>
      <c r="J81" s="66">
        <f t="shared" si="29"/>
        <v>0.16798961562691087</v>
      </c>
      <c r="K81" s="66">
        <f t="shared" si="29"/>
        <v>0.1701760887828308</v>
      </c>
      <c r="L81" s="66">
        <f t="shared" si="29"/>
        <v>0.17239102003625706</v>
      </c>
      <c r="M81" s="66">
        <f t="shared" si="29"/>
        <v>0.17463477978428849</v>
      </c>
      <c r="N81" s="66">
        <f t="shared" si="29"/>
        <v>0.17690774324493688</v>
      </c>
      <c r="O81" s="66">
        <f t="shared" si="29"/>
        <v>0.17921029051987372</v>
      </c>
      <c r="P81" s="66">
        <f t="shared" si="29"/>
        <v>0.18154280665799355</v>
      </c>
      <c r="Q81" s="66">
        <f t="shared" si="29"/>
        <v>0.1839056817198047</v>
      </c>
      <c r="R81" s="66">
        <f t="shared" si="29"/>
        <v>0.18629931084265802</v>
      </c>
      <c r="S81" s="66">
        <f t="shared" si="29"/>
        <v>0.18872409430682474</v>
      </c>
      <c r="T81" s="66">
        <f t="shared" si="29"/>
        <v>0.19118043760243422</v>
      </c>
      <c r="U81" s="66">
        <f t="shared" si="29"/>
        <v>0.19366875149728302</v>
      </c>
      <c r="V81" s="66">
        <f t="shared" si="29"/>
        <v>0.19618945210552649</v>
      </c>
      <c r="W81" s="66">
        <f t="shared" si="29"/>
        <v>0.19874296095726446</v>
      </c>
      <c r="X81" s="66">
        <f t="shared" si="29"/>
        <v>0.20132970506903258</v>
      </c>
      <c r="Y81" s="66">
        <f t="shared" si="29"/>
        <v>0.20395011701521124</v>
      </c>
      <c r="Z81" s="66">
        <f t="shared" si="29"/>
        <v>0.20660463500036375</v>
      </c>
      <c r="AA81" s="66">
        <f t="shared" si="29"/>
        <v>0.20929370293251615</v>
      </c>
      <c r="AB81" s="66">
        <f t="shared" si="29"/>
        <v>0.21201777049739082</v>
      </c>
      <c r="AC81" s="66">
        <f t="shared" si="29"/>
        <v>0.21477729323360617</v>
      </c>
      <c r="AD81" s="66">
        <f t="shared" si="29"/>
        <v>0.21757273260885526</v>
      </c>
      <c r="AE81" s="66">
        <f t="shared" si="29"/>
        <v>0.22040455609707571</v>
      </c>
      <c r="AF81" s="66">
        <f t="shared" si="29"/>
        <v>0.22327323725662418</v>
      </c>
      <c r="AG81" s="66">
        <f t="shared" si="29"/>
        <v>0.22617925580946829</v>
      </c>
      <c r="AH81" s="66">
        <f t="shared" si="29"/>
        <v>0.22912309772140926</v>
      </c>
      <c r="AI81" s="66">
        <f t="shared" si="29"/>
        <v>0.23210525528334866</v>
      </c>
      <c r="AJ81" s="66">
        <f t="shared" si="29"/>
        <v>0.23512622719361292</v>
      </c>
    </row>
    <row r="82" spans="1:37" x14ac:dyDescent="0.25">
      <c r="A82" t="s">
        <v>567</v>
      </c>
      <c r="B82" s="66">
        <f>L43/L6</f>
        <v>1.4712923867148392E-2</v>
      </c>
      <c r="C82" s="66">
        <f>B82*(1+($L$43/$L$6-$C$43/$C$6)/($C$43/$C$6)/10)</f>
        <v>1.4605261028564962E-2</v>
      </c>
      <c r="D82" s="66">
        <f t="shared" ref="D82:AJ82" si="30">C82*(1+($L$43/$L$6-$C$43/$C$6)/($C$43/$C$6)/10)</f>
        <v>1.4498386020253509E-2</v>
      </c>
      <c r="E82" s="66">
        <f t="shared" si="30"/>
        <v>1.4392293077211498E-2</v>
      </c>
      <c r="F82" s="66">
        <f t="shared" si="30"/>
        <v>1.4286976476622198E-2</v>
      </c>
      <c r="G82" s="66">
        <f t="shared" si="30"/>
        <v>1.4182430537545986E-2</v>
      </c>
      <c r="H82" s="66">
        <f t="shared" si="30"/>
        <v>1.4078649620613908E-2</v>
      </c>
      <c r="I82" s="66">
        <f t="shared" si="30"/>
        <v>1.397562812772348E-2</v>
      </c>
      <c r="J82" s="66">
        <f t="shared" si="30"/>
        <v>1.3873360501736725E-2</v>
      </c>
      <c r="K82" s="66">
        <f t="shared" si="30"/>
        <v>1.3771841226180402E-2</v>
      </c>
      <c r="L82" s="66">
        <f t="shared" si="30"/>
        <v>1.3671064824948452E-2</v>
      </c>
      <c r="M82" s="66">
        <f t="shared" si="30"/>
        <v>1.3571025862006593E-2</v>
      </c>
      <c r="N82" s="66">
        <f t="shared" si="30"/>
        <v>1.3471718941099107E-2</v>
      </c>
      <c r="O82" s="66">
        <f t="shared" si="30"/>
        <v>1.3373138705457746E-2</v>
      </c>
      <c r="P82" s="66">
        <f t="shared" si="30"/>
        <v>1.3275279837512786E-2</v>
      </c>
      <c r="Q82" s="66">
        <f t="shared" si="30"/>
        <v>1.3178137058606187E-2</v>
      </c>
      <c r="R82" s="66">
        <f t="shared" si="30"/>
        <v>1.3081705128706857E-2</v>
      </c>
      <c r="S82" s="66">
        <f t="shared" si="30"/>
        <v>1.2985978846127989E-2</v>
      </c>
      <c r="T82" s="66">
        <f t="shared" si="30"/>
        <v>1.2890953047246485E-2</v>
      </c>
      <c r="U82" s="66">
        <f t="shared" si="30"/>
        <v>1.2796622606224412E-2</v>
      </c>
      <c r="V82" s="66">
        <f t="shared" si="30"/>
        <v>1.2702982434732514E-2</v>
      </c>
      <c r="W82" s="66">
        <f t="shared" si="30"/>
        <v>1.2610027481675733E-2</v>
      </c>
      <c r="X82" s="66">
        <f t="shared" si="30"/>
        <v>1.2517752732920752E-2</v>
      </c>
      <c r="Y82" s="66">
        <f t="shared" si="30"/>
        <v>1.2426153211025519E-2</v>
      </c>
      <c r="Z82" s="66">
        <f t="shared" si="30"/>
        <v>1.2335223974970761E-2</v>
      </c>
      <c r="AA82" s="66">
        <f t="shared" si="30"/>
        <v>1.2244960119893454E-2</v>
      </c>
      <c r="AB82" s="66">
        <f t="shared" si="30"/>
        <v>1.2155356776822248E-2</v>
      </c>
      <c r="AC82" s="66">
        <f t="shared" si="30"/>
        <v>1.2066409112414829E-2</v>
      </c>
      <c r="AD82" s="66">
        <f t="shared" si="30"/>
        <v>1.1978112328697199E-2</v>
      </c>
      <c r="AE82" s="66">
        <f t="shared" si="30"/>
        <v>1.1890461662804868E-2</v>
      </c>
      <c r="AF82" s="66">
        <f t="shared" si="30"/>
        <v>1.1803452386725935E-2</v>
      </c>
      <c r="AG82" s="66">
        <f t="shared" si="30"/>
        <v>1.1717079807046055E-2</v>
      </c>
      <c r="AH82" s="66">
        <f t="shared" si="30"/>
        <v>1.1631339264695267E-2</v>
      </c>
      <c r="AI82" s="66">
        <f t="shared" si="30"/>
        <v>1.1546226134696674E-2</v>
      </c>
      <c r="AJ82" s="66">
        <f t="shared" si="30"/>
        <v>1.1461735825916971E-2</v>
      </c>
    </row>
    <row r="84" spans="1:37" x14ac:dyDescent="0.25">
      <c r="A84" s="55" t="s">
        <v>597</v>
      </c>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row>
    <row r="85" spans="1:37" x14ac:dyDescent="0.25">
      <c r="B85">
        <v>2016</v>
      </c>
      <c r="C85">
        <v>2017</v>
      </c>
      <c r="D85">
        <v>2018</v>
      </c>
      <c r="E85">
        <v>2019</v>
      </c>
      <c r="F85">
        <v>2020</v>
      </c>
      <c r="G85">
        <v>2021</v>
      </c>
      <c r="H85">
        <v>2022</v>
      </c>
      <c r="I85">
        <v>2023</v>
      </c>
      <c r="J85">
        <v>2024</v>
      </c>
      <c r="K85">
        <v>2025</v>
      </c>
      <c r="L85">
        <v>2026</v>
      </c>
      <c r="M85">
        <v>2027</v>
      </c>
      <c r="N85">
        <v>2028</v>
      </c>
      <c r="O85">
        <v>2029</v>
      </c>
      <c r="P85">
        <v>2030</v>
      </c>
      <c r="Q85">
        <v>2031</v>
      </c>
      <c r="R85">
        <v>2032</v>
      </c>
      <c r="S85">
        <v>2033</v>
      </c>
      <c r="T85">
        <v>2034</v>
      </c>
      <c r="U85">
        <v>2035</v>
      </c>
      <c r="V85">
        <v>2036</v>
      </c>
      <c r="W85">
        <v>2037</v>
      </c>
      <c r="X85">
        <v>2038</v>
      </c>
      <c r="Y85">
        <v>2039</v>
      </c>
      <c r="Z85">
        <v>2040</v>
      </c>
      <c r="AA85">
        <v>2041</v>
      </c>
      <c r="AB85">
        <v>2042</v>
      </c>
      <c r="AC85">
        <v>2043</v>
      </c>
      <c r="AD85">
        <v>2044</v>
      </c>
      <c r="AE85">
        <v>2045</v>
      </c>
      <c r="AF85">
        <v>2046</v>
      </c>
      <c r="AG85">
        <v>2047</v>
      </c>
      <c r="AH85">
        <v>2048</v>
      </c>
      <c r="AI85">
        <v>2049</v>
      </c>
      <c r="AJ85">
        <v>2050</v>
      </c>
    </row>
    <row r="86" spans="1:37" x14ac:dyDescent="0.25">
      <c r="A86" t="s">
        <v>565</v>
      </c>
      <c r="B86" s="66">
        <f>L51/L4</f>
        <v>2.2512864493996572E-3</v>
      </c>
      <c r="C86" s="66">
        <f>B86*(1+($L$51/$L$4-$C$51/$C$4)/($C$51/$C$4)/10)</f>
        <v>2.2697558595368055E-3</v>
      </c>
      <c r="D86" s="66">
        <f t="shared" ref="D86:AJ86" si="31">C86*(1+($L$51/$L$4-$C$51/$C$4)/($C$51/$C$4)/10)</f>
        <v>2.288376791534224E-3</v>
      </c>
      <c r="E86" s="66">
        <f t="shared" si="31"/>
        <v>2.3071504884675698E-3</v>
      </c>
      <c r="F86" s="66">
        <f t="shared" si="31"/>
        <v>2.3260782036106128E-3</v>
      </c>
      <c r="G86" s="66">
        <f t="shared" si="31"/>
        <v>2.3451612005189015E-3</v>
      </c>
      <c r="H86" s="66">
        <f t="shared" si="31"/>
        <v>2.3644007531141127E-3</v>
      </c>
      <c r="I86" s="66">
        <f t="shared" si="31"/>
        <v>2.3837981457690955E-3</v>
      </c>
      <c r="J86" s="66">
        <f t="shared" si="31"/>
        <v>2.4033546733936116E-3</v>
      </c>
      <c r="K86" s="66">
        <f t="shared" si="31"/>
        <v>2.4230716415207798E-3</v>
      </c>
      <c r="L86" s="66">
        <f t="shared" si="31"/>
        <v>2.4429503663942293E-3</v>
      </c>
      <c r="M86" s="66">
        <f t="shared" si="31"/>
        <v>2.4629921750559673E-3</v>
      </c>
      <c r="N86" s="66">
        <f t="shared" si="31"/>
        <v>2.4831984054349697E-3</v>
      </c>
      <c r="O86" s="66">
        <f t="shared" si="31"/>
        <v>2.5035704064364957E-3</v>
      </c>
      <c r="P86" s="66">
        <f t="shared" si="31"/>
        <v>2.5241095380321367E-3</v>
      </c>
      <c r="Q86" s="66">
        <f t="shared" si="31"/>
        <v>2.5448171713506047E-3</v>
      </c>
      <c r="R86" s="66">
        <f t="shared" si="31"/>
        <v>2.5656946887692637E-3</v>
      </c>
      <c r="S86" s="66">
        <f t="shared" si="31"/>
        <v>2.5867434840064134E-3</v>
      </c>
      <c r="T86" s="66">
        <f t="shared" si="31"/>
        <v>2.607964962214329E-3</v>
      </c>
      <c r="U86" s="66">
        <f t="shared" si="31"/>
        <v>2.6293605400730656E-3</v>
      </c>
      <c r="V86" s="66">
        <f t="shared" si="31"/>
        <v>2.6509316458850308E-3</v>
      </c>
      <c r="W86" s="66">
        <f t="shared" si="31"/>
        <v>2.6726797196703336E-3</v>
      </c>
      <c r="X86" s="66">
        <f t="shared" si="31"/>
        <v>2.6946062132629164E-3</v>
      </c>
      <c r="Y86" s="66">
        <f t="shared" si="31"/>
        <v>2.7167125904074742E-3</v>
      </c>
      <c r="Z86" s="66">
        <f t="shared" si="31"/>
        <v>2.7390003268571699E-3</v>
      </c>
      <c r="AA86" s="66">
        <f t="shared" si="31"/>
        <v>2.7614709104721506E-3</v>
      </c>
      <c r="AB86" s="66">
        <f t="shared" si="31"/>
        <v>2.7841258413188741E-3</v>
      </c>
      <c r="AC86" s="66">
        <f t="shared" si="31"/>
        <v>2.8069666317702465E-3</v>
      </c>
      <c r="AD86" s="66">
        <f t="shared" si="31"/>
        <v>2.8299948066065846E-3</v>
      </c>
      <c r="AE86" s="66">
        <f t="shared" si="31"/>
        <v>2.8532119031174064E-3</v>
      </c>
      <c r="AF86" s="66">
        <f t="shared" si="31"/>
        <v>2.8766194712040536E-3</v>
      </c>
      <c r="AG86" s="66">
        <f t="shared" si="31"/>
        <v>2.9002190734831604E-3</v>
      </c>
      <c r="AH86" s="66">
        <f t="shared" si="31"/>
        <v>2.9240122853909675E-3</v>
      </c>
      <c r="AI86" s="66">
        <f t="shared" si="31"/>
        <v>2.948000695288494E-3</v>
      </c>
      <c r="AJ86" s="66">
        <f t="shared" si="31"/>
        <v>2.9721859045675715E-3</v>
      </c>
    </row>
    <row r="87" spans="1:37" x14ac:dyDescent="0.25">
      <c r="A87" t="s">
        <v>567</v>
      </c>
      <c r="B87" s="66">
        <f>L53/L6</f>
        <v>1.0156850795861809E-4</v>
      </c>
      <c r="C87" s="66">
        <f>B87*(1+($L$53/$L$6-$C$53/$C$6)/($C$53/$C$6)/10)</f>
        <v>1.0204761998777327E-4</v>
      </c>
      <c r="D87" s="66">
        <f t="shared" ref="D87:AJ87" si="32">C87*(1+($L$53/$L$6-$C$53/$C$6)/($C$53/$C$6)/10)</f>
        <v>1.0252899205147159E-4</v>
      </c>
      <c r="E87" s="66">
        <f t="shared" si="32"/>
        <v>1.0301263481059364E-4</v>
      </c>
      <c r="F87" s="66">
        <f t="shared" si="32"/>
        <v>1.0349855897630881E-4</v>
      </c>
      <c r="G87" s="66">
        <f t="shared" si="32"/>
        <v>1.0398677531031246E-4</v>
      </c>
      <c r="H87" s="66">
        <f t="shared" si="32"/>
        <v>1.0447729462506429E-4</v>
      </c>
      <c r="I87" s="66">
        <f t="shared" si="32"/>
        <v>1.0497012778402783E-4</v>
      </c>
      <c r="J87" s="66">
        <f t="shared" si="32"/>
        <v>1.0546528570191095E-4</v>
      </c>
      <c r="K87" s="66">
        <f t="shared" si="32"/>
        <v>1.0596277934490766E-4</v>
      </c>
      <c r="L87" s="66">
        <f t="shared" si="32"/>
        <v>1.0646261973094096E-4</v>
      </c>
      <c r="M87" s="66">
        <f t="shared" si="32"/>
        <v>1.0696481792990683E-4</v>
      </c>
      <c r="N87" s="66">
        <f t="shared" si="32"/>
        <v>1.074693850639194E-4</v>
      </c>
      <c r="O87" s="66">
        <f t="shared" si="32"/>
        <v>1.0797633230755728E-4</v>
      </c>
      <c r="P87" s="66">
        <f t="shared" si="32"/>
        <v>1.0848567088811107E-4</v>
      </c>
      <c r="Q87" s="66">
        <f t="shared" si="32"/>
        <v>1.0899741208583194E-4</v>
      </c>
      <c r="R87" s="66">
        <f t="shared" si="32"/>
        <v>1.095115672341815E-4</v>
      </c>
      <c r="S87" s="66">
        <f t="shared" si="32"/>
        <v>1.100281477200828E-4</v>
      </c>
      <c r="T87" s="66">
        <f t="shared" si="32"/>
        <v>1.1054716498417251E-4</v>
      </c>
      <c r="U87" s="66">
        <f t="shared" si="32"/>
        <v>1.1106863052105426E-4</v>
      </c>
      <c r="V87" s="66">
        <f t="shared" si="32"/>
        <v>1.1159255587955328E-4</v>
      </c>
      <c r="W87" s="66">
        <f t="shared" si="32"/>
        <v>1.1211895266297211E-4</v>
      </c>
      <c r="X87" s="66">
        <f t="shared" si="32"/>
        <v>1.1264783252934759E-4</v>
      </c>
      <c r="Y87" s="66">
        <f t="shared" si="32"/>
        <v>1.1317920719170907E-4</v>
      </c>
      <c r="Z87" s="66">
        <f t="shared" si="32"/>
        <v>1.1371308841833778E-4</v>
      </c>
      <c r="AA87" s="66">
        <f t="shared" si="32"/>
        <v>1.1424948803302751E-4</v>
      </c>
      <c r="AB87" s="66">
        <f t="shared" si="32"/>
        <v>1.1478841791534641E-4</v>
      </c>
      <c r="AC87" s="66">
        <f t="shared" si="32"/>
        <v>1.1532989000090016E-4</v>
      </c>
      <c r="AD87" s="66">
        <f t="shared" si="32"/>
        <v>1.1587391628159622E-4</v>
      </c>
      <c r="AE87" s="66">
        <f t="shared" si="32"/>
        <v>1.1642050880590949E-4</v>
      </c>
      <c r="AF87" s="66">
        <f t="shared" si="32"/>
        <v>1.169696796791491E-4</v>
      </c>
      <c r="AG87" s="66">
        <f t="shared" si="32"/>
        <v>1.1752144106372652E-4</v>
      </c>
      <c r="AH87" s="66">
        <f t="shared" si="32"/>
        <v>1.1807580517942489E-4</v>
      </c>
      <c r="AI87" s="66">
        <f t="shared" si="32"/>
        <v>1.1863278430366974E-4</v>
      </c>
      <c r="AJ87" s="66">
        <f t="shared" si="32"/>
        <v>1.1919239077180076E-4</v>
      </c>
    </row>
    <row r="89" spans="1:37" x14ac:dyDescent="0.25">
      <c r="A89" s="55" t="s">
        <v>598</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row>
    <row r="90" spans="1:37" x14ac:dyDescent="0.25">
      <c r="B90">
        <v>2016</v>
      </c>
      <c r="C90">
        <v>2017</v>
      </c>
      <c r="D90">
        <v>2018</v>
      </c>
      <c r="E90">
        <v>2019</v>
      </c>
      <c r="F90">
        <v>2020</v>
      </c>
      <c r="G90">
        <v>2021</v>
      </c>
      <c r="H90">
        <v>2022</v>
      </c>
      <c r="I90">
        <v>2023</v>
      </c>
      <c r="J90">
        <v>2024</v>
      </c>
      <c r="K90">
        <v>2025</v>
      </c>
      <c r="L90">
        <v>2026</v>
      </c>
      <c r="M90">
        <v>2027</v>
      </c>
      <c r="N90">
        <v>2028</v>
      </c>
      <c r="O90">
        <v>2029</v>
      </c>
      <c r="P90">
        <v>2030</v>
      </c>
      <c r="Q90">
        <v>2031</v>
      </c>
      <c r="R90">
        <v>2032</v>
      </c>
      <c r="S90">
        <v>2033</v>
      </c>
      <c r="T90">
        <v>2034</v>
      </c>
      <c r="U90">
        <v>2035</v>
      </c>
      <c r="V90">
        <v>2036</v>
      </c>
      <c r="W90">
        <v>2037</v>
      </c>
      <c r="X90">
        <v>2038</v>
      </c>
      <c r="Y90">
        <v>2039</v>
      </c>
      <c r="Z90">
        <v>2040</v>
      </c>
      <c r="AA90">
        <v>2041</v>
      </c>
      <c r="AB90">
        <v>2042</v>
      </c>
      <c r="AC90">
        <v>2043</v>
      </c>
      <c r="AD90">
        <v>2044</v>
      </c>
      <c r="AE90">
        <v>2045</v>
      </c>
      <c r="AF90">
        <v>2046</v>
      </c>
      <c r="AG90">
        <v>2047</v>
      </c>
      <c r="AH90">
        <v>2048</v>
      </c>
      <c r="AI90">
        <v>2049</v>
      </c>
      <c r="AJ90">
        <v>2050</v>
      </c>
    </row>
    <row r="91" spans="1:37" x14ac:dyDescent="0.25">
      <c r="A91" t="s">
        <v>565</v>
      </c>
      <c r="B91" s="65">
        <f t="shared" ref="B91:AJ91" si="33">B81*L4</f>
        <v>1413</v>
      </c>
      <c r="C91" s="65">
        <f t="shared" si="33"/>
        <v>1441.6721548540493</v>
      </c>
      <c r="D91" s="65">
        <f t="shared" si="33"/>
        <v>1467.4314468977902</v>
      </c>
      <c r="E91" s="65">
        <f t="shared" si="33"/>
        <v>1493.6170554975638</v>
      </c>
      <c r="F91" s="65">
        <f t="shared" si="33"/>
        <v>1519.4381090901679</v>
      </c>
      <c r="G91" s="65">
        <f t="shared" si="33"/>
        <v>1541.6383544928572</v>
      </c>
      <c r="H91" s="65">
        <f t="shared" si="33"/>
        <v>1563.3405939403087</v>
      </c>
      <c r="I91" s="65">
        <f t="shared" si="33"/>
        <v>1583.6882935850413</v>
      </c>
      <c r="J91" s="65">
        <f t="shared" si="33"/>
        <v>1604.3008292369987</v>
      </c>
      <c r="K91" s="65">
        <f t="shared" si="33"/>
        <v>1624.33076743212</v>
      </c>
      <c r="L91" s="65">
        <f t="shared" si="33"/>
        <v>1645.4722862460737</v>
      </c>
      <c r="M91" s="65">
        <f t="shared" si="33"/>
        <v>1666.8889730410335</v>
      </c>
      <c r="N91" s="65">
        <f t="shared" si="33"/>
        <v>1691.28039289603</v>
      </c>
      <c r="O91" s="65">
        <f t="shared" si="33"/>
        <v>1716.0287299615691</v>
      </c>
      <c r="P91" s="65">
        <f t="shared" si="33"/>
        <v>1741.1392069715444</v>
      </c>
      <c r="Q91" s="65">
        <f t="shared" si="33"/>
        <v>1766.617123083593</v>
      </c>
      <c r="R91" s="65">
        <f t="shared" si="33"/>
        <v>1792.4678549973953</v>
      </c>
      <c r="S91" s="65">
        <f t="shared" si="33"/>
        <v>1818.6968580893426</v>
      </c>
      <c r="T91" s="65">
        <f t="shared" si="33"/>
        <v>1845.3096675638026</v>
      </c>
      <c r="U91" s="65">
        <f t="shared" si="33"/>
        <v>1872.3118996212372</v>
      </c>
      <c r="V91" s="65">
        <f t="shared" si="33"/>
        <v>1899.7092526434071</v>
      </c>
      <c r="W91" s="65">
        <f t="shared" si="33"/>
        <v>1927.5075083959248</v>
      </c>
      <c r="X91" s="65">
        <f t="shared" si="33"/>
        <v>1955.712533248402</v>
      </c>
      <c r="Y91" s="65">
        <f t="shared" si="33"/>
        <v>1984.3302794124504</v>
      </c>
      <c r="Z91" s="65">
        <f t="shared" si="33"/>
        <v>2013.3667861978004</v>
      </c>
      <c r="AA91" s="65">
        <f t="shared" si="33"/>
        <v>2042.8281812867976</v>
      </c>
      <c r="AB91" s="65">
        <f t="shared" si="33"/>
        <v>2072.7206820275524</v>
      </c>
      <c r="AC91" s="65">
        <f t="shared" si="33"/>
        <v>2103.0505967460076</v>
      </c>
      <c r="AD91" s="65">
        <f t="shared" si="33"/>
        <v>2133.8243260772106</v>
      </c>
      <c r="AE91" s="65">
        <f t="shared" si="33"/>
        <v>2165.0483643160624</v>
      </c>
      <c r="AF91" s="65">
        <f t="shared" si="33"/>
        <v>2196.729300787832</v>
      </c>
      <c r="AG91" s="65">
        <f t="shared" si="33"/>
        <v>2228.8738212387266</v>
      </c>
      <c r="AH91" s="65">
        <f t="shared" si="33"/>
        <v>2261.4887092468107</v>
      </c>
      <c r="AI91" s="65">
        <f t="shared" si="33"/>
        <v>2294.5808476535685</v>
      </c>
      <c r="AJ91" s="65">
        <f t="shared" si="33"/>
        <v>2328.1572200164164</v>
      </c>
    </row>
    <row r="92" spans="1:37" x14ac:dyDescent="0.25">
      <c r="A92" t="s">
        <v>566</v>
      </c>
      <c r="B92" s="65">
        <f t="shared" ref="B92:AJ92" si="34">$G$62*L5</f>
        <v>127.51787748153697</v>
      </c>
      <c r="C92" s="65">
        <f t="shared" si="34"/>
        <v>129.83050723590196</v>
      </c>
      <c r="D92" s="65">
        <f t="shared" si="34"/>
        <v>131.09988709507653</v>
      </c>
      <c r="E92" s="65">
        <f t="shared" si="34"/>
        <v>131.09988709507653</v>
      </c>
      <c r="F92" s="65">
        <f t="shared" si="34"/>
        <v>130.28415446426271</v>
      </c>
      <c r="G92" s="65">
        <f t="shared" si="34"/>
        <v>129.59605346956263</v>
      </c>
      <c r="H92" s="65">
        <f t="shared" si="34"/>
        <v>129.20760935965129</v>
      </c>
      <c r="I92" s="65">
        <f t="shared" si="34"/>
        <v>128.70401931715909</v>
      </c>
      <c r="J92" s="65">
        <f t="shared" si="34"/>
        <v>127.99927071774852</v>
      </c>
      <c r="K92" s="65">
        <f t="shared" si="34"/>
        <v>127.65522022039848</v>
      </c>
      <c r="L92" s="65">
        <f t="shared" si="34"/>
        <v>127.71626143767025</v>
      </c>
      <c r="M92" s="65">
        <f t="shared" si="34"/>
        <v>128.13800075700257</v>
      </c>
      <c r="N92" s="65">
        <f t="shared" si="34"/>
        <v>127.97095650747161</v>
      </c>
      <c r="O92" s="65">
        <f t="shared" si="34"/>
        <v>127.8041300214545</v>
      </c>
      <c r="P92" s="65">
        <f t="shared" si="34"/>
        <v>127.63752101506867</v>
      </c>
      <c r="Q92" s="65">
        <f t="shared" si="34"/>
        <v>127.47112920480167</v>
      </c>
      <c r="R92" s="65">
        <f t="shared" si="34"/>
        <v>127.30495430751058</v>
      </c>
      <c r="S92" s="65">
        <f t="shared" si="34"/>
        <v>127.13899604042169</v>
      </c>
      <c r="T92" s="65">
        <f t="shared" si="34"/>
        <v>126.9732541211298</v>
      </c>
      <c r="U92" s="65">
        <f t="shared" si="34"/>
        <v>126.80772826759795</v>
      </c>
      <c r="V92" s="65">
        <f t="shared" si="34"/>
        <v>126.64241819815683</v>
      </c>
      <c r="W92" s="65">
        <f t="shared" si="34"/>
        <v>126.47732363150433</v>
      </c>
      <c r="X92" s="65">
        <f t="shared" si="34"/>
        <v>126.31244428670502</v>
      </c>
      <c r="Y92" s="65">
        <f t="shared" si="34"/>
        <v>126.14777988318971</v>
      </c>
      <c r="Z92" s="65">
        <f t="shared" si="34"/>
        <v>125.98333014075504</v>
      </c>
      <c r="AA92" s="65">
        <f t="shared" si="34"/>
        <v>125.81909477956286</v>
      </c>
      <c r="AB92" s="65">
        <f t="shared" si="34"/>
        <v>125.65507352013979</v>
      </c>
      <c r="AC92" s="65">
        <f t="shared" si="34"/>
        <v>125.49126608337689</v>
      </c>
      <c r="AD92" s="65">
        <f t="shared" si="34"/>
        <v>125.32767219052899</v>
      </c>
      <c r="AE92" s="65">
        <f t="shared" si="34"/>
        <v>125.16429156321429</v>
      </c>
      <c r="AF92" s="65">
        <f t="shared" si="34"/>
        <v>125.00112392341399</v>
      </c>
      <c r="AG92" s="65">
        <f t="shared" si="34"/>
        <v>124.83816899347163</v>
      </c>
      <c r="AH92" s="65">
        <f t="shared" si="34"/>
        <v>124.67542649609274</v>
      </c>
      <c r="AI92" s="65">
        <f t="shared" si="34"/>
        <v>124.51289615434435</v>
      </c>
      <c r="AJ92" s="65">
        <f t="shared" si="34"/>
        <v>124.35057769165451</v>
      </c>
    </row>
    <row r="93" spans="1:37" x14ac:dyDescent="0.25">
      <c r="A93" t="s">
        <v>567</v>
      </c>
      <c r="B93" s="65">
        <f>B82*L6</f>
        <v>1014</v>
      </c>
      <c r="C93" s="65">
        <f t="shared" ref="C93:AJ93" si="35">C82*M6</f>
        <v>1044.641295068109</v>
      </c>
      <c r="D93" s="65">
        <f t="shared" si="35"/>
        <v>1045.6960917107845</v>
      </c>
      <c r="E93" s="65">
        <f t="shared" si="35"/>
        <v>1043.2973251670614</v>
      </c>
      <c r="F93" s="65">
        <f t="shared" si="35"/>
        <v>1038.5917549680507</v>
      </c>
      <c r="G93" s="65">
        <f t="shared" si="35"/>
        <v>1034.3672063948413</v>
      </c>
      <c r="H93" s="65">
        <f t="shared" si="35"/>
        <v>1031.0639836152802</v>
      </c>
      <c r="I93" s="65">
        <f t="shared" si="35"/>
        <v>1028.8717671348747</v>
      </c>
      <c r="J93" s="65">
        <f t="shared" si="35"/>
        <v>1027.8772795736738</v>
      </c>
      <c r="K93" s="65">
        <f t="shared" si="35"/>
        <v>1026.6494478880704</v>
      </c>
      <c r="L93" s="65">
        <f t="shared" si="35"/>
        <v>1024.9334009912104</v>
      </c>
      <c r="M93" s="65">
        <f t="shared" si="35"/>
        <v>1023.4182023056412</v>
      </c>
      <c r="N93" s="65">
        <f t="shared" si="35"/>
        <v>1021.4502992898665</v>
      </c>
      <c r="O93" s="65">
        <f t="shared" si="35"/>
        <v>1019.4861803012575</v>
      </c>
      <c r="P93" s="65">
        <f t="shared" si="35"/>
        <v>1017.5258380636116</v>
      </c>
      <c r="Q93" s="65">
        <f t="shared" si="35"/>
        <v>1015.5692653147167</v>
      </c>
      <c r="R93" s="65">
        <f t="shared" si="35"/>
        <v>1013.6164548063258</v>
      </c>
      <c r="S93" s="65">
        <f t="shared" si="35"/>
        <v>1011.6673993041288</v>
      </c>
      <c r="T93" s="65">
        <f t="shared" si="35"/>
        <v>1009.7220915877266</v>
      </c>
      <c r="U93" s="65">
        <f t="shared" si="35"/>
        <v>1007.7805244506037</v>
      </c>
      <c r="V93" s="65">
        <f t="shared" si="35"/>
        <v>1005.8426907001023</v>
      </c>
      <c r="W93" s="65">
        <f t="shared" si="35"/>
        <v>1003.9085831573944</v>
      </c>
      <c r="X93" s="65">
        <f t="shared" si="35"/>
        <v>1001.9781946574568</v>
      </c>
      <c r="Y93" s="65">
        <f t="shared" si="35"/>
        <v>1000.0515180490432</v>
      </c>
      <c r="Z93" s="65">
        <f t="shared" si="35"/>
        <v>998.12854619465838</v>
      </c>
      <c r="AA93" s="65">
        <f t="shared" si="35"/>
        <v>996.20927197053174</v>
      </c>
      <c r="AB93" s="65">
        <f t="shared" si="35"/>
        <v>994.29368826659049</v>
      </c>
      <c r="AC93" s="65">
        <f t="shared" si="35"/>
        <v>992.38178798643401</v>
      </c>
      <c r="AD93" s="65">
        <f t="shared" si="35"/>
        <v>990.47356404730647</v>
      </c>
      <c r="AE93" s="65">
        <f t="shared" si="35"/>
        <v>988.56900938007209</v>
      </c>
      <c r="AF93" s="65">
        <f t="shared" si="35"/>
        <v>986.6681169291877</v>
      </c>
      <c r="AG93" s="65">
        <f t="shared" si="35"/>
        <v>984.77087965267708</v>
      </c>
      <c r="AH93" s="65">
        <f t="shared" si="35"/>
        <v>982.87729052210511</v>
      </c>
      <c r="AI93" s="65">
        <f t="shared" si="35"/>
        <v>980.98734252255088</v>
      </c>
      <c r="AJ93" s="65">
        <f t="shared" si="35"/>
        <v>979.10102865258284</v>
      </c>
    </row>
    <row r="94" spans="1:37" x14ac:dyDescent="0.25">
      <c r="A94" t="s">
        <v>568</v>
      </c>
      <c r="B94" s="65">
        <f t="shared" ref="B94:AJ94" si="36">$G$64*L7</f>
        <v>2.9973588254402905</v>
      </c>
      <c r="C94" s="65">
        <f t="shared" si="36"/>
        <v>2.9408048853376436</v>
      </c>
      <c r="D94" s="65">
        <f t="shared" si="36"/>
        <v>2.9037359161947323</v>
      </c>
      <c r="E94" s="65">
        <f t="shared" si="36"/>
        <v>2.8671342029653868</v>
      </c>
      <c r="F94" s="65">
        <f t="shared" si="36"/>
        <v>2.8309938558691847</v>
      </c>
      <c r="G94" s="65">
        <f t="shared" si="36"/>
        <v>2.7953090593666317</v>
      </c>
      <c r="H94" s="65">
        <f t="shared" si="36"/>
        <v>2.7600740712233551</v>
      </c>
      <c r="I94" s="65">
        <f t="shared" si="36"/>
        <v>2.725283221586086</v>
      </c>
      <c r="J94" s="65">
        <f t="shared" si="36"/>
        <v>2.6909309120702951</v>
      </c>
      <c r="K94" s="65">
        <f t="shared" si="36"/>
        <v>2.657011614859325</v>
      </c>
      <c r="L94" s="65">
        <f t="shared" si="36"/>
        <v>2.6235198718148802</v>
      </c>
      <c r="M94" s="65">
        <f t="shared" si="36"/>
        <v>2.5904502935987264</v>
      </c>
      <c r="N94" s="65">
        <f t="shared" si="36"/>
        <v>2.5595888053184681</v>
      </c>
      <c r="O94" s="65">
        <f t="shared" si="36"/>
        <v>2.529094987269608</v>
      </c>
      <c r="P94" s="65">
        <f t="shared" si="36"/>
        <v>2.4989644591903182</v>
      </c>
      <c r="Q94" s="65">
        <f t="shared" si="36"/>
        <v>2.4691928930032891</v>
      </c>
      <c r="R94" s="65">
        <f t="shared" si="36"/>
        <v>2.4397760121940246</v>
      </c>
      <c r="S94" s="65">
        <f t="shared" si="36"/>
        <v>2.4107095911965466</v>
      </c>
      <c r="T94" s="65">
        <f t="shared" si="36"/>
        <v>2.381989454786416</v>
      </c>
      <c r="U94" s="65">
        <f t="shared" si="36"/>
        <v>2.3536114774809858</v>
      </c>
      <c r="V94" s="65">
        <f t="shared" si="36"/>
        <v>2.3255715829467998</v>
      </c>
      <c r="W94" s="65">
        <f t="shared" si="36"/>
        <v>2.2978657434140484</v>
      </c>
      <c r="X94" s="65">
        <f t="shared" si="36"/>
        <v>2.2704899790980071</v>
      </c>
      <c r="Y94" s="65">
        <f t="shared" si="36"/>
        <v>2.2434403576273581</v>
      </c>
      <c r="Z94" s="65">
        <f t="shared" si="36"/>
        <v>2.2167129934793319</v>
      </c>
      <c r="AA94" s="65">
        <f t="shared" si="36"/>
        <v>2.1903040474215714</v>
      </c>
      <c r="AB94" s="65">
        <f t="shared" si="36"/>
        <v>2.1642097259606499</v>
      </c>
      <c r="AC94" s="65">
        <f t="shared" si="36"/>
        <v>2.1384262807971579</v>
      </c>
      <c r="AD94" s="65">
        <f t="shared" si="36"/>
        <v>2.1129500082872785</v>
      </c>
      <c r="AE94" s="65">
        <f t="shared" si="36"/>
        <v>2.0877772489107844</v>
      </c>
      <c r="AF94" s="65">
        <f t="shared" si="36"/>
        <v>2.0629043867453656</v>
      </c>
      <c r="AG94" s="65">
        <f t="shared" si="36"/>
        <v>2.0383278489472243</v>
      </c>
      <c r="AH94" s="65">
        <f t="shared" si="36"/>
        <v>2.0140441052378559</v>
      </c>
      <c r="AI94" s="65">
        <f t="shared" si="36"/>
        <v>1.9900496673969461</v>
      </c>
      <c r="AJ94" s="65">
        <f t="shared" si="36"/>
        <v>1.966341088761306</v>
      </c>
    </row>
    <row r="95" spans="1:37" x14ac:dyDescent="0.25">
      <c r="A95" t="s">
        <v>569</v>
      </c>
      <c r="B95" s="65">
        <f t="shared" ref="B95:AJ95" si="37">$G$65*L8</f>
        <v>0.96792451928148193</v>
      </c>
      <c r="C95" s="65">
        <f t="shared" si="37"/>
        <v>0.97531325606989017</v>
      </c>
      <c r="D95" s="65">
        <f t="shared" si="37"/>
        <v>0.96036137228536778</v>
      </c>
      <c r="E95" s="65">
        <f t="shared" si="37"/>
        <v>0.94563870596232724</v>
      </c>
      <c r="F95" s="65">
        <f t="shared" si="37"/>
        <v>0.93114174311915876</v>
      </c>
      <c r="G95" s="65">
        <f t="shared" si="37"/>
        <v>0.91686702364478556</v>
      </c>
      <c r="H95" s="65">
        <f t="shared" si="37"/>
        <v>0.90281114047280964</v>
      </c>
      <c r="I95" s="65">
        <f t="shared" si="37"/>
        <v>0.88897073876831945</v>
      </c>
      <c r="J95" s="65">
        <f t="shared" si="37"/>
        <v>0.87534251512716299</v>
      </c>
      <c r="K95" s="65">
        <f t="shared" si="37"/>
        <v>0.86192321678749706</v>
      </c>
      <c r="L95" s="65">
        <f t="shared" si="37"/>
        <v>0.84870964085342315</v>
      </c>
      <c r="M95" s="65">
        <f t="shared" si="37"/>
        <v>0.83569863353052587</v>
      </c>
      <c r="N95" s="65">
        <f t="shared" si="37"/>
        <v>0.8237357335544524</v>
      </c>
      <c r="O95" s="65">
        <f t="shared" si="37"/>
        <v>0.81194408068839619</v>
      </c>
      <c r="P95" s="65">
        <f t="shared" si="37"/>
        <v>0.80032122355578916</v>
      </c>
      <c r="Q95" s="65">
        <f t="shared" si="37"/>
        <v>0.78886474587114908</v>
      </c>
      <c r="R95" s="65">
        <f t="shared" si="37"/>
        <v>0.7775722659377563</v>
      </c>
      <c r="S95" s="65">
        <f t="shared" si="37"/>
        <v>0.76644143615252092</v>
      </c>
      <c r="T95" s="65">
        <f t="shared" si="37"/>
        <v>0.75546994251793687</v>
      </c>
      <c r="U95" s="65">
        <f t="shared" si="37"/>
        <v>0.74465550416102411</v>
      </c>
      <c r="V95" s="65">
        <f t="shared" si="37"/>
        <v>0.73399587285915535</v>
      </c>
      <c r="W95" s="65">
        <f t="shared" si="37"/>
        <v>0.72348883257267138</v>
      </c>
      <c r="X95" s="65">
        <f t="shared" si="37"/>
        <v>0.71313219898418656</v>
      </c>
      <c r="Y95" s="65">
        <f t="shared" si="37"/>
        <v>0.70292381904448964</v>
      </c>
      <c r="Z95" s="65">
        <f t="shared" si="37"/>
        <v>0.6928615705249439</v>
      </c>
      <c r="AA95" s="65">
        <f t="shared" si="37"/>
        <v>0.6829433615762962</v>
      </c>
      <c r="AB95" s="65">
        <f t="shared" si="37"/>
        <v>0.67316713029379982</v>
      </c>
      <c r="AC95" s="65">
        <f t="shared" si="37"/>
        <v>0.66353084428856368</v>
      </c>
      <c r="AD95" s="65">
        <f t="shared" si="37"/>
        <v>0.65403250026503745</v>
      </c>
      <c r="AE95" s="65">
        <f t="shared" si="37"/>
        <v>0.64467012360454468</v>
      </c>
      <c r="AF95" s="65">
        <f t="shared" si="37"/>
        <v>0.63544176795477758</v>
      </c>
      <c r="AG95" s="65">
        <f t="shared" si="37"/>
        <v>0.6263455148251682</v>
      </c>
      <c r="AH95" s="65">
        <f t="shared" si="37"/>
        <v>0.61737947318805197</v>
      </c>
      <c r="AI95" s="65">
        <f t="shared" si="37"/>
        <v>0.60854177908554052</v>
      </c>
      <c r="AJ95" s="65">
        <f t="shared" si="37"/>
        <v>0.59983059524202142</v>
      </c>
    </row>
    <row r="96" spans="1:37" x14ac:dyDescent="0.25">
      <c r="A96" t="s">
        <v>588</v>
      </c>
      <c r="B96" s="65">
        <f t="shared" ref="B96:AJ96" si="38">$G$66*L9</f>
        <v>153.95710128042688</v>
      </c>
      <c r="C96" s="65">
        <f t="shared" si="38"/>
        <v>156.847788430587</v>
      </c>
      <c r="D96" s="65">
        <f t="shared" si="38"/>
        <v>159.59655553978317</v>
      </c>
      <c r="E96" s="65">
        <f t="shared" si="38"/>
        <v>161.23237074878853</v>
      </c>
      <c r="F96" s="65">
        <f t="shared" si="38"/>
        <v>164.1828137056703</v>
      </c>
      <c r="G96" s="65">
        <f t="shared" si="38"/>
        <v>165.37792984010341</v>
      </c>
      <c r="H96" s="65">
        <f t="shared" si="38"/>
        <v>166.83074289102368</v>
      </c>
      <c r="I96" s="65">
        <f t="shared" si="38"/>
        <v>168.13790116305989</v>
      </c>
      <c r="J96" s="65">
        <f t="shared" si="38"/>
        <v>169.3255478216528</v>
      </c>
      <c r="K96" s="65">
        <f t="shared" si="38"/>
        <v>170.31151863256014</v>
      </c>
      <c r="L96" s="65">
        <f t="shared" si="38"/>
        <v>170.76715665881278</v>
      </c>
      <c r="M96" s="65">
        <f t="shared" si="38"/>
        <v>171.59253373915564</v>
      </c>
      <c r="N96" s="65">
        <f t="shared" si="38"/>
        <v>173.20561877666353</v>
      </c>
      <c r="O96" s="65">
        <f t="shared" si="38"/>
        <v>174.83386789667273</v>
      </c>
      <c r="P96" s="65">
        <f t="shared" si="38"/>
        <v>176.47742365174108</v>
      </c>
      <c r="Q96" s="65">
        <f t="shared" si="38"/>
        <v>178.1364299345162</v>
      </c>
      <c r="R96" s="65">
        <f t="shared" si="38"/>
        <v>179.81103199033322</v>
      </c>
      <c r="S96" s="65">
        <f t="shared" si="38"/>
        <v>181.50137642993087</v>
      </c>
      <c r="T96" s="65">
        <f t="shared" si="38"/>
        <v>183.20761124228738</v>
      </c>
      <c r="U96" s="65">
        <f t="shared" si="38"/>
        <v>184.92988580757668</v>
      </c>
      <c r="V96" s="65">
        <f t="shared" si="38"/>
        <v>186.66835091024663</v>
      </c>
      <c r="W96" s="65">
        <f t="shared" si="38"/>
        <v>188.42315875222025</v>
      </c>
      <c r="X96" s="65">
        <f t="shared" si="38"/>
        <v>190.19446296622067</v>
      </c>
      <c r="Y96" s="65">
        <f t="shared" si="38"/>
        <v>191.98241862922194</v>
      </c>
      <c r="Z96" s="65">
        <f t="shared" si="38"/>
        <v>193.78718227602565</v>
      </c>
      <c r="AA96" s="65">
        <f t="shared" si="38"/>
        <v>195.60891191296579</v>
      </c>
      <c r="AB96" s="65">
        <f t="shared" si="38"/>
        <v>197.44776703174185</v>
      </c>
      <c r="AC96" s="65">
        <f t="shared" si="38"/>
        <v>199.30390862338245</v>
      </c>
      <c r="AD96" s="65">
        <f t="shared" si="38"/>
        <v>201.17749919234004</v>
      </c>
      <c r="AE96" s="65">
        <f t="shared" si="38"/>
        <v>203.06870277071789</v>
      </c>
      <c r="AF96" s="65">
        <f t="shared" si="38"/>
        <v>204.97768493263135</v>
      </c>
      <c r="AG96" s="65">
        <f t="shared" si="38"/>
        <v>206.90461280870352</v>
      </c>
      <c r="AH96" s="65">
        <f t="shared" si="38"/>
        <v>208.84965510069762</v>
      </c>
      <c r="AI96" s="65">
        <f t="shared" si="38"/>
        <v>210.81298209628673</v>
      </c>
      <c r="AJ96" s="65">
        <f t="shared" si="38"/>
        <v>212.79476568396237</v>
      </c>
    </row>
    <row r="97" spans="1:37" x14ac:dyDescent="0.25">
      <c r="A97" t="s">
        <v>570</v>
      </c>
      <c r="B97" s="65">
        <f t="shared" ref="B97:AJ97" si="39">$K$47</f>
        <v>9</v>
      </c>
      <c r="C97" s="65">
        <f t="shared" si="39"/>
        <v>9</v>
      </c>
      <c r="D97" s="65">
        <f t="shared" si="39"/>
        <v>9</v>
      </c>
      <c r="E97" s="65">
        <f t="shared" si="39"/>
        <v>9</v>
      </c>
      <c r="F97" s="65">
        <f t="shared" si="39"/>
        <v>9</v>
      </c>
      <c r="G97" s="65">
        <f t="shared" si="39"/>
        <v>9</v>
      </c>
      <c r="H97" s="65">
        <f t="shared" si="39"/>
        <v>9</v>
      </c>
      <c r="I97" s="65">
        <f t="shared" si="39"/>
        <v>9</v>
      </c>
      <c r="J97" s="65">
        <f t="shared" si="39"/>
        <v>9</v>
      </c>
      <c r="K97" s="65">
        <f t="shared" si="39"/>
        <v>9</v>
      </c>
      <c r="L97" s="65">
        <f t="shared" si="39"/>
        <v>9</v>
      </c>
      <c r="M97" s="65">
        <f t="shared" si="39"/>
        <v>9</v>
      </c>
      <c r="N97" s="65">
        <f t="shared" si="39"/>
        <v>9</v>
      </c>
      <c r="O97" s="65">
        <f t="shared" si="39"/>
        <v>9</v>
      </c>
      <c r="P97" s="65">
        <f t="shared" si="39"/>
        <v>9</v>
      </c>
      <c r="Q97" s="65">
        <f t="shared" si="39"/>
        <v>9</v>
      </c>
      <c r="R97" s="65">
        <f t="shared" si="39"/>
        <v>9</v>
      </c>
      <c r="S97" s="65">
        <f t="shared" si="39"/>
        <v>9</v>
      </c>
      <c r="T97" s="65">
        <f t="shared" si="39"/>
        <v>9</v>
      </c>
      <c r="U97" s="65">
        <f t="shared" si="39"/>
        <v>9</v>
      </c>
      <c r="V97" s="65">
        <f t="shared" si="39"/>
        <v>9</v>
      </c>
      <c r="W97" s="65">
        <f t="shared" si="39"/>
        <v>9</v>
      </c>
      <c r="X97" s="65">
        <f t="shared" si="39"/>
        <v>9</v>
      </c>
      <c r="Y97" s="65">
        <f t="shared" si="39"/>
        <v>9</v>
      </c>
      <c r="Z97" s="65">
        <f t="shared" si="39"/>
        <v>9</v>
      </c>
      <c r="AA97" s="65">
        <f t="shared" si="39"/>
        <v>9</v>
      </c>
      <c r="AB97" s="65">
        <f t="shared" si="39"/>
        <v>9</v>
      </c>
      <c r="AC97" s="65">
        <f t="shared" si="39"/>
        <v>9</v>
      </c>
      <c r="AD97" s="65">
        <f t="shared" si="39"/>
        <v>9</v>
      </c>
      <c r="AE97" s="65">
        <f t="shared" si="39"/>
        <v>9</v>
      </c>
      <c r="AF97" s="65">
        <f t="shared" si="39"/>
        <v>9</v>
      </c>
      <c r="AG97" s="65">
        <f t="shared" si="39"/>
        <v>9</v>
      </c>
      <c r="AH97" s="65">
        <f t="shared" si="39"/>
        <v>9</v>
      </c>
      <c r="AI97" s="65">
        <f t="shared" si="39"/>
        <v>9</v>
      </c>
      <c r="AJ97" s="65">
        <f t="shared" si="39"/>
        <v>9</v>
      </c>
    </row>
    <row r="99" spans="1:37" x14ac:dyDescent="0.25">
      <c r="A99" s="55" t="s">
        <v>600</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row>
    <row r="100" spans="1:37" x14ac:dyDescent="0.25">
      <c r="B100">
        <v>2016</v>
      </c>
      <c r="C100">
        <v>2017</v>
      </c>
      <c r="D100">
        <v>2018</v>
      </c>
      <c r="E100">
        <v>2019</v>
      </c>
      <c r="F100">
        <v>2020</v>
      </c>
      <c r="G100">
        <v>2021</v>
      </c>
      <c r="H100">
        <v>2022</v>
      </c>
      <c r="I100">
        <v>2023</v>
      </c>
      <c r="J100">
        <v>2024</v>
      </c>
      <c r="K100">
        <v>2025</v>
      </c>
      <c r="L100">
        <v>2026</v>
      </c>
      <c r="M100">
        <v>2027</v>
      </c>
      <c r="N100">
        <v>2028</v>
      </c>
      <c r="O100">
        <v>2029</v>
      </c>
      <c r="P100">
        <v>2030</v>
      </c>
      <c r="Q100">
        <v>2031</v>
      </c>
      <c r="R100">
        <v>2032</v>
      </c>
      <c r="S100">
        <v>2033</v>
      </c>
      <c r="T100">
        <v>2034</v>
      </c>
      <c r="U100">
        <v>2035</v>
      </c>
      <c r="V100">
        <v>2036</v>
      </c>
      <c r="W100">
        <v>2037</v>
      </c>
      <c r="X100">
        <v>2038</v>
      </c>
      <c r="Y100">
        <v>2039</v>
      </c>
      <c r="Z100">
        <v>2040</v>
      </c>
      <c r="AA100">
        <v>2041</v>
      </c>
      <c r="AB100">
        <v>2042</v>
      </c>
      <c r="AC100">
        <v>2043</v>
      </c>
      <c r="AD100">
        <v>2044</v>
      </c>
      <c r="AE100">
        <v>2045</v>
      </c>
      <c r="AF100">
        <v>2046</v>
      </c>
      <c r="AG100">
        <v>2047</v>
      </c>
      <c r="AH100">
        <v>2048</v>
      </c>
      <c r="AI100">
        <v>2049</v>
      </c>
      <c r="AJ100">
        <v>2050</v>
      </c>
    </row>
    <row r="101" spans="1:37" x14ac:dyDescent="0.25">
      <c r="A101" t="s">
        <v>565</v>
      </c>
      <c r="B101" s="65">
        <f t="shared" ref="B101:AJ101" si="40">B86*L4</f>
        <v>21.000000000000004</v>
      </c>
      <c r="C101" s="65">
        <f t="shared" si="40"/>
        <v>21.324356300348288</v>
      </c>
      <c r="D101" s="65">
        <f t="shared" si="40"/>
        <v>21.602276912083074</v>
      </c>
      <c r="E101" s="65">
        <f t="shared" si="40"/>
        <v>21.883322383114898</v>
      </c>
      <c r="F101" s="65">
        <f t="shared" si="40"/>
        <v>22.155894889391089</v>
      </c>
      <c r="G101" s="65">
        <f t="shared" si="40"/>
        <v>22.372837852950319</v>
      </c>
      <c r="H101" s="65">
        <f t="shared" si="40"/>
        <v>22.580027192239776</v>
      </c>
      <c r="I101" s="65">
        <f t="shared" si="40"/>
        <v>22.765272292094863</v>
      </c>
      <c r="J101" s="65">
        <f t="shared" si="40"/>
        <v>22.952037130908991</v>
      </c>
      <c r="K101" s="65">
        <f t="shared" si="40"/>
        <v>23.128218818315844</v>
      </c>
      <c r="L101" s="65">
        <f t="shared" si="40"/>
        <v>23.317961247232919</v>
      </c>
      <c r="M101" s="65">
        <f t="shared" si="40"/>
        <v>23.509260310909209</v>
      </c>
      <c r="N101" s="65">
        <f t="shared" si="40"/>
        <v>23.739971454884572</v>
      </c>
      <c r="O101" s="65">
        <f t="shared" si="40"/>
        <v>23.972946712288024</v>
      </c>
      <c r="P101" s="65">
        <f t="shared" si="40"/>
        <v>24.208208302287346</v>
      </c>
      <c r="Q101" s="65">
        <f t="shared" si="40"/>
        <v>24.44577866210096</v>
      </c>
      <c r="R101" s="65">
        <f t="shared" si="40"/>
        <v>24.685680449137816</v>
      </c>
      <c r="S101" s="65">
        <f t="shared" si="40"/>
        <v>24.927936543158268</v>
      </c>
      <c r="T101" s="65">
        <f t="shared" si="40"/>
        <v>25.172570048456112</v>
      </c>
      <c r="U101" s="65">
        <f t="shared" si="40"/>
        <v>25.419604296062122</v>
      </c>
      <c r="V101" s="65">
        <f t="shared" si="40"/>
        <v>25.669062845969123</v>
      </c>
      <c r="W101" s="65">
        <f t="shared" si="40"/>
        <v>25.920969489378948</v>
      </c>
      <c r="X101" s="65">
        <f t="shared" si="40"/>
        <v>26.17534825097146</v>
      </c>
      <c r="Y101" s="65">
        <f t="shared" si="40"/>
        <v>26.432223391195794</v>
      </c>
      <c r="Z101" s="65">
        <f t="shared" si="40"/>
        <v>26.69161940858411</v>
      </c>
      <c r="AA101" s="65">
        <f t="shared" si="40"/>
        <v>26.953561042088069</v>
      </c>
      <c r="AB101" s="65">
        <f t="shared" si="40"/>
        <v>27.218073273438211</v>
      </c>
      <c r="AC101" s="65">
        <f t="shared" si="40"/>
        <v>27.485181329526487</v>
      </c>
      <c r="AD101" s="65">
        <f t="shared" si="40"/>
        <v>27.754910684812188</v>
      </c>
      <c r="AE101" s="65">
        <f t="shared" si="40"/>
        <v>28.027287063751494</v>
      </c>
      <c r="AF101" s="65">
        <f t="shared" si="40"/>
        <v>28.30233644325083</v>
      </c>
      <c r="AG101" s="65">
        <f t="shared" si="40"/>
        <v>28.580085055144327</v>
      </c>
      <c r="AH101" s="65">
        <f t="shared" si="40"/>
        <v>28.860559388695592</v>
      </c>
      <c r="AI101" s="65">
        <f t="shared" si="40"/>
        <v>29.143786193124019</v>
      </c>
      <c r="AJ101" s="65">
        <f t="shared" si="40"/>
        <v>29.429792480155893</v>
      </c>
    </row>
    <row r="102" spans="1:37" x14ac:dyDescent="0.25">
      <c r="A102" t="s">
        <v>566</v>
      </c>
      <c r="B102" s="65">
        <f t="shared" ref="B102:AJ102" si="41">$G$72*L5</f>
        <v>26.732179450761887</v>
      </c>
      <c r="C102" s="65">
        <f t="shared" si="41"/>
        <v>27.216987030826946</v>
      </c>
      <c r="D102" s="65">
        <f t="shared" si="41"/>
        <v>27.48309317105462</v>
      </c>
      <c r="E102" s="65">
        <f t="shared" si="41"/>
        <v>27.48309317105462</v>
      </c>
      <c r="F102" s="65">
        <f t="shared" si="41"/>
        <v>27.312087257990278</v>
      </c>
      <c r="G102" s="65">
        <f t="shared" si="41"/>
        <v>27.167837372140088</v>
      </c>
      <c r="H102" s="65">
        <f t="shared" si="41"/>
        <v>27.086405984966593</v>
      </c>
      <c r="I102" s="65">
        <f t="shared" si="41"/>
        <v>26.980836008023811</v>
      </c>
      <c r="J102" s="65">
        <f t="shared" si="41"/>
        <v>26.833096205580468</v>
      </c>
      <c r="K102" s="65">
        <f t="shared" si="41"/>
        <v>26.760971262655374</v>
      </c>
      <c r="L102" s="65">
        <f t="shared" si="41"/>
        <v>26.773767623496923</v>
      </c>
      <c r="M102" s="65">
        <f t="shared" si="41"/>
        <v>26.862178843856718</v>
      </c>
      <c r="N102" s="65">
        <f t="shared" si="41"/>
        <v>26.827160562946844</v>
      </c>
      <c r="O102" s="65">
        <f t="shared" si="41"/>
        <v>26.792187932838605</v>
      </c>
      <c r="P102" s="65">
        <f t="shared" si="41"/>
        <v>26.757260894020352</v>
      </c>
      <c r="Q102" s="65">
        <f t="shared" si="41"/>
        <v>26.722379387058016</v>
      </c>
      <c r="R102" s="65">
        <f t="shared" si="41"/>
        <v>26.687543352595</v>
      </c>
      <c r="S102" s="65">
        <f t="shared" si="41"/>
        <v>26.652752731352106</v>
      </c>
      <c r="T102" s="65">
        <f t="shared" si="41"/>
        <v>26.618007464127391</v>
      </c>
      <c r="U102" s="65">
        <f t="shared" si="41"/>
        <v>26.583307491796102</v>
      </c>
      <c r="V102" s="65">
        <f t="shared" si="41"/>
        <v>26.548652755310567</v>
      </c>
      <c r="W102" s="65">
        <f t="shared" si="41"/>
        <v>26.514043195700076</v>
      </c>
      <c r="X102" s="65">
        <f t="shared" si="41"/>
        <v>26.479478754070801</v>
      </c>
      <c r="Y102" s="65">
        <f t="shared" si="41"/>
        <v>26.444959371605698</v>
      </c>
      <c r="Z102" s="65">
        <f t="shared" si="41"/>
        <v>26.410484989564388</v>
      </c>
      <c r="AA102" s="65">
        <f t="shared" si="41"/>
        <v>26.376055549283077</v>
      </c>
      <c r="AB102" s="65">
        <f t="shared" si="41"/>
        <v>26.341670992174429</v>
      </c>
      <c r="AC102" s="65">
        <f t="shared" si="41"/>
        <v>26.307331259727508</v>
      </c>
      <c r="AD102" s="65">
        <f t="shared" si="41"/>
        <v>26.273036293507637</v>
      </c>
      <c r="AE102" s="65">
        <f t="shared" si="41"/>
        <v>26.23878603515632</v>
      </c>
      <c r="AF102" s="65">
        <f t="shared" si="41"/>
        <v>26.204580426391143</v>
      </c>
      <c r="AG102" s="65">
        <f t="shared" si="41"/>
        <v>26.170419409005671</v>
      </c>
      <c r="AH102" s="65">
        <f t="shared" si="41"/>
        <v>26.136302924869337</v>
      </c>
      <c r="AI102" s="65">
        <f t="shared" si="41"/>
        <v>26.102230915927372</v>
      </c>
      <c r="AJ102" s="65">
        <f t="shared" si="41"/>
        <v>26.068203324200674</v>
      </c>
    </row>
    <row r="103" spans="1:37" x14ac:dyDescent="0.25">
      <c r="A103" t="s">
        <v>567</v>
      </c>
      <c r="B103" s="65">
        <f>B87*L6</f>
        <v>7</v>
      </c>
      <c r="C103" s="65">
        <f t="shared" ref="C103:AJ103" si="42">C87*M6</f>
        <v>7.298956019625483</v>
      </c>
      <c r="D103" s="65">
        <f t="shared" si="42"/>
        <v>7.394903551712388</v>
      </c>
      <c r="E103" s="65">
        <f t="shared" si="42"/>
        <v>7.4673858974199332</v>
      </c>
      <c r="F103" s="65">
        <f t="shared" si="42"/>
        <v>7.5238277447827686</v>
      </c>
      <c r="G103" s="65">
        <f t="shared" si="42"/>
        <v>7.5840674837070186</v>
      </c>
      <c r="H103" s="65">
        <f t="shared" si="42"/>
        <v>7.6514991491612081</v>
      </c>
      <c r="I103" s="65">
        <f t="shared" si="42"/>
        <v>7.7277958373323452</v>
      </c>
      <c r="J103" s="65">
        <f t="shared" si="42"/>
        <v>7.8139230176545817</v>
      </c>
      <c r="K103" s="65">
        <f t="shared" si="42"/>
        <v>7.8992073118248314</v>
      </c>
      <c r="L103" s="65">
        <f t="shared" si="42"/>
        <v>7.9816090638483752</v>
      </c>
      <c r="M103" s="65">
        <f t="shared" si="42"/>
        <v>8.0664308497301338</v>
      </c>
      <c r="N103" s="65">
        <f t="shared" si="42"/>
        <v>8.1485247738609878</v>
      </c>
      <c r="O103" s="65">
        <f t="shared" si="42"/>
        <v>8.231454186760633</v>
      </c>
      <c r="P103" s="65">
        <f t="shared" si="42"/>
        <v>8.3152275913906539</v>
      </c>
      <c r="Q103" s="65">
        <f t="shared" si="42"/>
        <v>8.3998535772492264</v>
      </c>
      <c r="R103" s="65">
        <f t="shared" si="42"/>
        <v>8.4853408212518247</v>
      </c>
      <c r="S103" s="65">
        <f t="shared" si="42"/>
        <v>8.5716980886208951</v>
      </c>
      <c r="T103" s="65">
        <f t="shared" si="42"/>
        <v>8.6589342337845725</v>
      </c>
      <c r="U103" s="65">
        <f t="shared" si="42"/>
        <v>8.7470582012845401</v>
      </c>
      <c r="V103" s="65">
        <f t="shared" si="42"/>
        <v>8.8360790266931453</v>
      </c>
      <c r="W103" s="65">
        <f t="shared" si="42"/>
        <v>8.926005837539833</v>
      </c>
      <c r="X103" s="65">
        <f t="shared" si="42"/>
        <v>9.0168478542470201</v>
      </c>
      <c r="Y103" s="65">
        <f t="shared" si="42"/>
        <v>9.1086143910754824</v>
      </c>
      <c r="Z103" s="65">
        <f t="shared" si="42"/>
        <v>9.2013148570793728</v>
      </c>
      <c r="AA103" s="65">
        <f t="shared" si="42"/>
        <v>9.2949587570709582</v>
      </c>
      <c r="AB103" s="65">
        <f t="shared" si="42"/>
        <v>9.3895556925951649</v>
      </c>
      <c r="AC103" s="65">
        <f t="shared" si="42"/>
        <v>9.4851153629140565</v>
      </c>
      <c r="AD103" s="65">
        <f t="shared" si="42"/>
        <v>9.5816475660013118</v>
      </c>
      <c r="AE103" s="65">
        <f t="shared" si="42"/>
        <v>9.6791621995468535</v>
      </c>
      <c r="AF103" s="65">
        <f t="shared" si="42"/>
        <v>9.7776692619716687</v>
      </c>
      <c r="AG103" s="65">
        <f t="shared" si="42"/>
        <v>9.8771788534529801</v>
      </c>
      <c r="AH103" s="65">
        <f t="shared" si="42"/>
        <v>9.9777011769598332</v>
      </c>
      <c r="AI103" s="65">
        <f t="shared" si="42"/>
        <v>10.079246539299247</v>
      </c>
      <c r="AJ103" s="65">
        <f t="shared" si="42"/>
        <v>10.181825352172982</v>
      </c>
    </row>
    <row r="104" spans="1:37" x14ac:dyDescent="0.25">
      <c r="A104" t="s">
        <v>568</v>
      </c>
      <c r="B104" s="65">
        <f t="shared" ref="B104:AJ104" si="43">$G$74*L7</f>
        <v>0.99911960848009684</v>
      </c>
      <c r="C104" s="65">
        <f t="shared" si="43"/>
        <v>0.98026829511254776</v>
      </c>
      <c r="D104" s="65">
        <f t="shared" si="43"/>
        <v>0.96791197206491064</v>
      </c>
      <c r="E104" s="65">
        <f t="shared" si="43"/>
        <v>0.95571140098846219</v>
      </c>
      <c r="F104" s="65">
        <f t="shared" si="43"/>
        <v>0.9436646186230615</v>
      </c>
      <c r="G104" s="65">
        <f t="shared" si="43"/>
        <v>0.93176968645554381</v>
      </c>
      <c r="H104" s="65">
        <f t="shared" si="43"/>
        <v>0.9200246904077849</v>
      </c>
      <c r="I104" s="65">
        <f t="shared" si="43"/>
        <v>0.90842774052869524</v>
      </c>
      <c r="J104" s="65">
        <f t="shared" si="43"/>
        <v>0.8969769706900983</v>
      </c>
      <c r="K104" s="65">
        <f t="shared" si="43"/>
        <v>0.8856705382864416</v>
      </c>
      <c r="L104" s="65">
        <f t="shared" si="43"/>
        <v>0.87450662393829326</v>
      </c>
      <c r="M104" s="65">
        <f t="shared" si="43"/>
        <v>0.86348343119957538</v>
      </c>
      <c r="N104" s="65">
        <f t="shared" si="43"/>
        <v>0.85319626843948926</v>
      </c>
      <c r="O104" s="65">
        <f t="shared" si="43"/>
        <v>0.8430316624232026</v>
      </c>
      <c r="P104" s="65">
        <f t="shared" si="43"/>
        <v>0.83298815306343943</v>
      </c>
      <c r="Q104" s="65">
        <f t="shared" si="43"/>
        <v>0.82306429766776301</v>
      </c>
      <c r="R104" s="65">
        <f t="shared" si="43"/>
        <v>0.81325867073134139</v>
      </c>
      <c r="S104" s="65">
        <f t="shared" si="43"/>
        <v>0.80356986373218209</v>
      </c>
      <c r="T104" s="65">
        <f t="shared" si="43"/>
        <v>0.79399648492880526</v>
      </c>
      <c r="U104" s="65">
        <f t="shared" si="43"/>
        <v>0.78453715916032851</v>
      </c>
      <c r="V104" s="65">
        <f t="shared" si="43"/>
        <v>0.77519052764893315</v>
      </c>
      <c r="W104" s="65">
        <f t="shared" si="43"/>
        <v>0.76595524780468272</v>
      </c>
      <c r="X104" s="65">
        <f t="shared" si="43"/>
        <v>0.75682999303266885</v>
      </c>
      <c r="Y104" s="65">
        <f t="shared" si="43"/>
        <v>0.74781345254245257</v>
      </c>
      <c r="Z104" s="65">
        <f t="shared" si="43"/>
        <v>0.73890433115977716</v>
      </c>
      <c r="AA104" s="65">
        <f t="shared" si="43"/>
        <v>0.73010134914052371</v>
      </c>
      <c r="AB104" s="65">
        <f t="shared" si="43"/>
        <v>0.72140324198688321</v>
      </c>
      <c r="AC104" s="65">
        <f t="shared" si="43"/>
        <v>0.71280876026571915</v>
      </c>
      <c r="AD104" s="65">
        <f t="shared" si="43"/>
        <v>0.70431666942909277</v>
      </c>
      <c r="AE104" s="65">
        <f t="shared" si="43"/>
        <v>0.6959257496369281</v>
      </c>
      <c r="AF104" s="65">
        <f t="shared" si="43"/>
        <v>0.68763479558178842</v>
      </c>
      <c r="AG104" s="65">
        <f t="shared" si="43"/>
        <v>0.67944261631574132</v>
      </c>
      <c r="AH104" s="65">
        <f t="shared" si="43"/>
        <v>0.67134803507928531</v>
      </c>
      <c r="AI104" s="65">
        <f t="shared" si="43"/>
        <v>0.6633498891323153</v>
      </c>
      <c r="AJ104" s="65">
        <f t="shared" si="43"/>
        <v>0.65544702958710188</v>
      </c>
    </row>
    <row r="105" spans="1:37" x14ac:dyDescent="0.25">
      <c r="A105" t="s">
        <v>569</v>
      </c>
      <c r="B105" s="65">
        <f t="shared" ref="B105:AJ105" si="44">$G$75*L8</f>
        <v>0</v>
      </c>
      <c r="C105" s="65">
        <f t="shared" si="44"/>
        <v>0</v>
      </c>
      <c r="D105" s="65">
        <f t="shared" si="44"/>
        <v>0</v>
      </c>
      <c r="E105" s="65">
        <f t="shared" si="44"/>
        <v>0</v>
      </c>
      <c r="F105" s="65">
        <f t="shared" si="44"/>
        <v>0</v>
      </c>
      <c r="G105" s="65">
        <f t="shared" si="44"/>
        <v>0</v>
      </c>
      <c r="H105" s="65">
        <f t="shared" si="44"/>
        <v>0</v>
      </c>
      <c r="I105" s="65">
        <f t="shared" si="44"/>
        <v>0</v>
      </c>
      <c r="J105" s="65">
        <f t="shared" si="44"/>
        <v>0</v>
      </c>
      <c r="K105" s="65">
        <f t="shared" si="44"/>
        <v>0</v>
      </c>
      <c r="L105" s="65">
        <f t="shared" si="44"/>
        <v>0</v>
      </c>
      <c r="M105" s="65">
        <f t="shared" si="44"/>
        <v>0</v>
      </c>
      <c r="N105" s="65">
        <f t="shared" si="44"/>
        <v>0</v>
      </c>
      <c r="O105" s="65">
        <f t="shared" si="44"/>
        <v>0</v>
      </c>
      <c r="P105" s="65">
        <f t="shared" si="44"/>
        <v>0</v>
      </c>
      <c r="Q105" s="65">
        <f t="shared" si="44"/>
        <v>0</v>
      </c>
      <c r="R105" s="65">
        <f t="shared" si="44"/>
        <v>0</v>
      </c>
      <c r="S105" s="65">
        <f t="shared" si="44"/>
        <v>0</v>
      </c>
      <c r="T105" s="65">
        <f t="shared" si="44"/>
        <v>0</v>
      </c>
      <c r="U105" s="65">
        <f t="shared" si="44"/>
        <v>0</v>
      </c>
      <c r="V105" s="65">
        <f t="shared" si="44"/>
        <v>0</v>
      </c>
      <c r="W105" s="65">
        <f t="shared" si="44"/>
        <v>0</v>
      </c>
      <c r="X105" s="65">
        <f t="shared" si="44"/>
        <v>0</v>
      </c>
      <c r="Y105" s="65">
        <f t="shared" si="44"/>
        <v>0</v>
      </c>
      <c r="Z105" s="65">
        <f t="shared" si="44"/>
        <v>0</v>
      </c>
      <c r="AA105" s="65">
        <f t="shared" si="44"/>
        <v>0</v>
      </c>
      <c r="AB105" s="65">
        <f t="shared" si="44"/>
        <v>0</v>
      </c>
      <c r="AC105" s="65">
        <f t="shared" si="44"/>
        <v>0</v>
      </c>
      <c r="AD105" s="65">
        <f t="shared" si="44"/>
        <v>0</v>
      </c>
      <c r="AE105" s="65">
        <f t="shared" si="44"/>
        <v>0</v>
      </c>
      <c r="AF105" s="65">
        <f t="shared" si="44"/>
        <v>0</v>
      </c>
      <c r="AG105" s="65">
        <f t="shared" si="44"/>
        <v>0</v>
      </c>
      <c r="AH105" s="65">
        <f t="shared" si="44"/>
        <v>0</v>
      </c>
      <c r="AI105" s="65">
        <f t="shared" si="44"/>
        <v>0</v>
      </c>
      <c r="AJ105" s="65">
        <f t="shared" si="44"/>
        <v>0</v>
      </c>
    </row>
    <row r="106" spans="1:37" x14ac:dyDescent="0.25">
      <c r="A106" t="s">
        <v>588</v>
      </c>
      <c r="B106" s="65">
        <f t="shared" ref="B106:AJ106" si="45">$G$76*L9</f>
        <v>5.8150581021459793</v>
      </c>
      <c r="C106" s="65">
        <f t="shared" si="45"/>
        <v>5.9242412031105127</v>
      </c>
      <c r="D106" s="65">
        <f t="shared" si="45"/>
        <v>6.0280638934333775</v>
      </c>
      <c r="E106" s="65">
        <f t="shared" si="45"/>
        <v>6.0898496792505172</v>
      </c>
      <c r="F106" s="65">
        <f t="shared" si="45"/>
        <v>6.2012897952220696</v>
      </c>
      <c r="G106" s="65">
        <f t="shared" si="45"/>
        <v>6.2464300953624452</v>
      </c>
      <c r="H106" s="65">
        <f t="shared" si="45"/>
        <v>6.3013037727205896</v>
      </c>
      <c r="I106" s="65">
        <f t="shared" si="45"/>
        <v>6.3506759759991258</v>
      </c>
      <c r="J106" s="65">
        <f t="shared" si="45"/>
        <v>6.3955341492636242</v>
      </c>
      <c r="K106" s="65">
        <f t="shared" si="45"/>
        <v>6.4327748968794349</v>
      </c>
      <c r="L106" s="65">
        <f t="shared" si="45"/>
        <v>6.4499846363079527</v>
      </c>
      <c r="M106" s="65">
        <f t="shared" si="45"/>
        <v>6.4811596560923999</v>
      </c>
      <c r="N106" s="65">
        <f t="shared" si="45"/>
        <v>6.5420869088062901</v>
      </c>
      <c r="O106" s="65">
        <f t="shared" si="45"/>
        <v>6.6035869186069123</v>
      </c>
      <c r="P106" s="65">
        <f t="shared" si="45"/>
        <v>6.6656650697954731</v>
      </c>
      <c r="Q106" s="65">
        <f t="shared" si="45"/>
        <v>6.7283267972892284</v>
      </c>
      <c r="R106" s="65">
        <f t="shared" si="45"/>
        <v>6.7915775870973043</v>
      </c>
      <c r="S106" s="65">
        <f t="shared" si="45"/>
        <v>6.8554229768009973</v>
      </c>
      <c r="T106" s="65">
        <f t="shared" si="45"/>
        <v>6.919868556038586</v>
      </c>
      <c r="U106" s="65">
        <f t="shared" si="45"/>
        <v>6.9849199669947026</v>
      </c>
      <c r="V106" s="65">
        <f t="shared" si="45"/>
        <v>7.0505829048943021</v>
      </c>
      <c r="W106" s="65">
        <f t="shared" si="45"/>
        <v>7.1168631185012803</v>
      </c>
      <c r="X106" s="65">
        <f t="shared" si="45"/>
        <v>7.1837664106217716</v>
      </c>
      <c r="Y106" s="65">
        <f t="shared" si="45"/>
        <v>7.2512986386121874</v>
      </c>
      <c r="Z106" s="65">
        <f t="shared" si="45"/>
        <v>7.3194657148920186</v>
      </c>
      <c r="AA106" s="65">
        <f t="shared" si="45"/>
        <v>7.3882736074614721</v>
      </c>
      <c r="AB106" s="65">
        <f t="shared" si="45"/>
        <v>7.457728340423964</v>
      </c>
      <c r="AC106" s="65">
        <f t="shared" si="45"/>
        <v>7.5278359945135263</v>
      </c>
      <c r="AD106" s="65">
        <f t="shared" si="45"/>
        <v>7.598602707627176</v>
      </c>
      <c r="AE106" s="65">
        <f t="shared" si="45"/>
        <v>7.6700346753622801</v>
      </c>
      <c r="AF106" s="65">
        <f t="shared" si="45"/>
        <v>7.7421381515589855</v>
      </c>
      <c r="AG106" s="65">
        <f t="shared" si="45"/>
        <v>7.814919448847732</v>
      </c>
      <c r="AH106" s="65">
        <f t="shared" si="45"/>
        <v>7.8883849392019263</v>
      </c>
      <c r="AI106" s="65">
        <f t="shared" si="45"/>
        <v>7.9625410544958024</v>
      </c>
      <c r="AJ106" s="65">
        <f t="shared" si="45"/>
        <v>8.0373942870675332</v>
      </c>
    </row>
    <row r="107" spans="1:37" x14ac:dyDescent="0.25">
      <c r="A107" t="s">
        <v>570</v>
      </c>
      <c r="B107" s="65">
        <f t="shared" ref="B107:AJ107" si="46">$K$57</f>
        <v>0</v>
      </c>
      <c r="C107" s="65">
        <f t="shared" si="46"/>
        <v>0</v>
      </c>
      <c r="D107" s="65">
        <f t="shared" si="46"/>
        <v>0</v>
      </c>
      <c r="E107" s="65">
        <f t="shared" si="46"/>
        <v>0</v>
      </c>
      <c r="F107" s="65">
        <f t="shared" si="46"/>
        <v>0</v>
      </c>
      <c r="G107" s="65">
        <f t="shared" si="46"/>
        <v>0</v>
      </c>
      <c r="H107" s="65">
        <f t="shared" si="46"/>
        <v>0</v>
      </c>
      <c r="I107" s="65">
        <f t="shared" si="46"/>
        <v>0</v>
      </c>
      <c r="J107" s="65">
        <f t="shared" si="46"/>
        <v>0</v>
      </c>
      <c r="K107" s="65">
        <f t="shared" si="46"/>
        <v>0</v>
      </c>
      <c r="L107" s="65">
        <f t="shared" si="46"/>
        <v>0</v>
      </c>
      <c r="M107" s="65">
        <f t="shared" si="46"/>
        <v>0</v>
      </c>
      <c r="N107" s="65">
        <f t="shared" si="46"/>
        <v>0</v>
      </c>
      <c r="O107" s="65">
        <f t="shared" si="46"/>
        <v>0</v>
      </c>
      <c r="P107" s="65">
        <f t="shared" si="46"/>
        <v>0</v>
      </c>
      <c r="Q107" s="65">
        <f t="shared" si="46"/>
        <v>0</v>
      </c>
      <c r="R107" s="65">
        <f t="shared" si="46"/>
        <v>0</v>
      </c>
      <c r="S107" s="65">
        <f t="shared" si="46"/>
        <v>0</v>
      </c>
      <c r="T107" s="65">
        <f t="shared" si="46"/>
        <v>0</v>
      </c>
      <c r="U107" s="65">
        <f t="shared" si="46"/>
        <v>0</v>
      </c>
      <c r="V107" s="65">
        <f t="shared" si="46"/>
        <v>0</v>
      </c>
      <c r="W107" s="65">
        <f t="shared" si="46"/>
        <v>0</v>
      </c>
      <c r="X107" s="65">
        <f t="shared" si="46"/>
        <v>0</v>
      </c>
      <c r="Y107" s="65">
        <f t="shared" si="46"/>
        <v>0</v>
      </c>
      <c r="Z107" s="65">
        <f t="shared" si="46"/>
        <v>0</v>
      </c>
      <c r="AA107" s="65">
        <f t="shared" si="46"/>
        <v>0</v>
      </c>
      <c r="AB107" s="65">
        <f t="shared" si="46"/>
        <v>0</v>
      </c>
      <c r="AC107" s="65">
        <f t="shared" si="46"/>
        <v>0</v>
      </c>
      <c r="AD107" s="65">
        <f t="shared" si="46"/>
        <v>0</v>
      </c>
      <c r="AE107" s="65">
        <f t="shared" si="46"/>
        <v>0</v>
      </c>
      <c r="AF107" s="65">
        <f t="shared" si="46"/>
        <v>0</v>
      </c>
      <c r="AG107" s="65">
        <f t="shared" si="46"/>
        <v>0</v>
      </c>
      <c r="AH107" s="65">
        <f t="shared" si="46"/>
        <v>0</v>
      </c>
      <c r="AI107" s="65">
        <f t="shared" si="46"/>
        <v>0</v>
      </c>
      <c r="AJ107" s="65">
        <f t="shared" si="46"/>
        <v>0</v>
      </c>
    </row>
    <row r="122" spans="1:2" x14ac:dyDescent="0.25">
      <c r="A122" t="s">
        <v>577</v>
      </c>
      <c r="B122" s="3" t="s">
        <v>573</v>
      </c>
    </row>
    <row r="123" spans="1:2" x14ac:dyDescent="0.25">
      <c r="A123" t="s">
        <v>577</v>
      </c>
      <c r="B123" t="s">
        <v>573</v>
      </c>
    </row>
    <row r="124" spans="1:2" x14ac:dyDescent="0.25">
      <c r="A124" t="s">
        <v>577</v>
      </c>
      <c r="B124" t="s">
        <v>573</v>
      </c>
    </row>
    <row r="125" spans="1:2" x14ac:dyDescent="0.25">
      <c r="A125" t="s">
        <v>577</v>
      </c>
      <c r="B125" t="s">
        <v>575</v>
      </c>
    </row>
    <row r="126" spans="1:2" x14ac:dyDescent="0.25">
      <c r="A126" t="s">
        <v>577</v>
      </c>
      <c r="B126" t="s">
        <v>575</v>
      </c>
    </row>
    <row r="127" spans="1:2" x14ac:dyDescent="0.25">
      <c r="A127" t="s">
        <v>576</v>
      </c>
    </row>
    <row r="128" spans="1:2" x14ac:dyDescent="0.25">
      <c r="A128" t="s">
        <v>576</v>
      </c>
    </row>
    <row r="129" spans="1:1" x14ac:dyDescent="0.25">
      <c r="A129" t="s">
        <v>576</v>
      </c>
    </row>
  </sheetData>
  <hyperlinks>
    <hyperlink ref="B122" r:id="rId1"/>
  </hyperlinks>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6"/>
  <sheetViews>
    <sheetView workbookViewId="0">
      <selection activeCell="B16" sqref="B16"/>
    </sheetView>
  </sheetViews>
  <sheetFormatPr defaultRowHeight="15" x14ac:dyDescent="0.25"/>
  <cols>
    <col min="1" max="1" width="28.5703125" customWidth="1"/>
  </cols>
  <sheetData>
    <row r="1" spans="1:37" x14ac:dyDescent="0.25">
      <c r="A1" s="55" t="s">
        <v>601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row>
    <row r="2" spans="1:37" x14ac:dyDescent="0.2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25">
      <c r="A3" t="s">
        <v>602</v>
      </c>
      <c r="B3">
        <v>2.6</v>
      </c>
      <c r="C3">
        <v>3.1</v>
      </c>
      <c r="D3">
        <v>2.4</v>
      </c>
      <c r="E3">
        <v>2.9</v>
      </c>
      <c r="F3">
        <v>2.8</v>
      </c>
      <c r="G3">
        <v>2.8</v>
      </c>
      <c r="H3">
        <v>2.8</v>
      </c>
      <c r="I3">
        <v>2.8</v>
      </c>
      <c r="J3">
        <v>2.9</v>
      </c>
      <c r="K3">
        <v>2.9</v>
      </c>
      <c r="L3">
        <v>2.9</v>
      </c>
      <c r="M3">
        <v>2.9</v>
      </c>
      <c r="N3" s="61">
        <v>2.9</v>
      </c>
      <c r="O3" s="67">
        <f t="shared" ref="O3:AK3" si="0">N3</f>
        <v>2.9</v>
      </c>
      <c r="P3" s="67">
        <f t="shared" si="0"/>
        <v>2.9</v>
      </c>
      <c r="Q3" s="67">
        <f t="shared" si="0"/>
        <v>2.9</v>
      </c>
      <c r="R3" s="67">
        <f t="shared" si="0"/>
        <v>2.9</v>
      </c>
      <c r="S3" s="67">
        <f t="shared" si="0"/>
        <v>2.9</v>
      </c>
      <c r="T3" s="67">
        <f t="shared" si="0"/>
        <v>2.9</v>
      </c>
      <c r="U3" s="67">
        <f t="shared" si="0"/>
        <v>2.9</v>
      </c>
      <c r="V3" s="67">
        <f t="shared" si="0"/>
        <v>2.9</v>
      </c>
      <c r="W3" s="67">
        <f t="shared" si="0"/>
        <v>2.9</v>
      </c>
      <c r="X3" s="67">
        <f t="shared" si="0"/>
        <v>2.9</v>
      </c>
      <c r="Y3" s="67">
        <f t="shared" si="0"/>
        <v>2.9</v>
      </c>
      <c r="Z3" s="67">
        <f t="shared" si="0"/>
        <v>2.9</v>
      </c>
      <c r="AA3" s="67">
        <f t="shared" si="0"/>
        <v>2.9</v>
      </c>
      <c r="AB3" s="67">
        <f t="shared" si="0"/>
        <v>2.9</v>
      </c>
      <c r="AC3" s="67">
        <f t="shared" si="0"/>
        <v>2.9</v>
      </c>
      <c r="AD3" s="67">
        <f t="shared" si="0"/>
        <v>2.9</v>
      </c>
      <c r="AE3" s="67">
        <f t="shared" si="0"/>
        <v>2.9</v>
      </c>
      <c r="AF3" s="67">
        <f t="shared" si="0"/>
        <v>2.9</v>
      </c>
      <c r="AG3" s="67">
        <f t="shared" si="0"/>
        <v>2.9</v>
      </c>
      <c r="AH3" s="67">
        <f t="shared" si="0"/>
        <v>2.9</v>
      </c>
      <c r="AI3" s="67">
        <f t="shared" si="0"/>
        <v>2.9</v>
      </c>
      <c r="AJ3" s="67">
        <f t="shared" si="0"/>
        <v>2.9</v>
      </c>
      <c r="AK3" s="67">
        <f t="shared" si="0"/>
        <v>2.9</v>
      </c>
    </row>
    <row r="5" spans="1:37" x14ac:dyDescent="0.25">
      <c r="A5" s="55" t="s">
        <v>604</v>
      </c>
      <c r="B5" s="55"/>
      <c r="C5" s="55"/>
      <c r="D5" s="55"/>
      <c r="E5" s="55"/>
      <c r="F5" s="55"/>
    </row>
    <row r="6" spans="1:37" x14ac:dyDescent="0.25">
      <c r="B6">
        <v>2011</v>
      </c>
      <c r="C6">
        <v>2012</v>
      </c>
      <c r="D6">
        <v>2013</v>
      </c>
      <c r="E6">
        <v>2014</v>
      </c>
      <c r="F6">
        <v>2015</v>
      </c>
      <c r="G6" t="s">
        <v>1954</v>
      </c>
    </row>
    <row r="7" spans="1:37" x14ac:dyDescent="0.25">
      <c r="A7" t="s">
        <v>603</v>
      </c>
      <c r="B7">
        <v>1451</v>
      </c>
      <c r="C7">
        <v>1292</v>
      </c>
      <c r="D7">
        <v>1292</v>
      </c>
      <c r="E7">
        <v>1292</v>
      </c>
      <c r="F7">
        <v>1292</v>
      </c>
    </row>
    <row r="8" spans="1:37" x14ac:dyDescent="0.25">
      <c r="A8" t="s">
        <v>605</v>
      </c>
      <c r="B8">
        <v>564</v>
      </c>
      <c r="C8">
        <v>453</v>
      </c>
      <c r="D8">
        <v>454</v>
      </c>
      <c r="E8">
        <v>456</v>
      </c>
      <c r="F8">
        <v>449</v>
      </c>
    </row>
    <row r="10" spans="1:37" x14ac:dyDescent="0.25">
      <c r="A10" s="55" t="s">
        <v>606</v>
      </c>
      <c r="B10" s="55"/>
      <c r="C10" s="55"/>
      <c r="D10" s="55"/>
      <c r="E10" s="55"/>
      <c r="F10" s="55"/>
    </row>
    <row r="11" spans="1:37" x14ac:dyDescent="0.25">
      <c r="B11">
        <v>2011</v>
      </c>
      <c r="C11">
        <v>2012</v>
      </c>
      <c r="D11">
        <v>2013</v>
      </c>
      <c r="E11">
        <v>2014</v>
      </c>
      <c r="F11">
        <v>2015</v>
      </c>
    </row>
    <row r="12" spans="1:37" x14ac:dyDescent="0.25">
      <c r="A12" t="s">
        <v>607</v>
      </c>
      <c r="B12">
        <f>B8/(B7*2.47105)</f>
        <v>0.15730052003579814</v>
      </c>
      <c r="C12">
        <f t="shared" ref="C12:F12" si="1">C8/(C7*2.47105)</f>
        <v>0.14189077317190654</v>
      </c>
      <c r="D12">
        <f t="shared" si="1"/>
        <v>0.14220399783674517</v>
      </c>
      <c r="E12">
        <f t="shared" si="1"/>
        <v>0.14283044716642249</v>
      </c>
      <c r="F12">
        <f t="shared" si="1"/>
        <v>0.14063787451255194</v>
      </c>
    </row>
    <row r="14" spans="1:37" x14ac:dyDescent="0.25">
      <c r="A14" s="55" t="s">
        <v>555</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row>
    <row r="15" spans="1:37" x14ac:dyDescent="0.25">
      <c r="B15">
        <v>2016</v>
      </c>
      <c r="C15">
        <v>2017</v>
      </c>
      <c r="D15">
        <v>2018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row>
    <row r="16" spans="1:37" x14ac:dyDescent="0.25">
      <c r="A16" t="s">
        <v>462</v>
      </c>
      <c r="B16" s="2">
        <f>AVERAGE($B$12:$F$12)*$F$7*2.47105*C3/$B$3</f>
        <v>551.84700206753951</v>
      </c>
      <c r="C16" s="2">
        <f t="shared" ref="C16:AJ16" si="2">AVERAGE($B$12:$F$12)*$F$7*2.47105*D3/$B$3</f>
        <v>427.23638869744997</v>
      </c>
      <c r="D16" s="2">
        <f t="shared" si="2"/>
        <v>516.24396967608538</v>
      </c>
      <c r="E16" s="2">
        <f t="shared" si="2"/>
        <v>498.44245348035827</v>
      </c>
      <c r="F16" s="2">
        <f t="shared" si="2"/>
        <v>498.44245348035827</v>
      </c>
      <c r="G16" s="2">
        <f t="shared" si="2"/>
        <v>498.44245348035827</v>
      </c>
      <c r="H16" s="2">
        <f t="shared" si="2"/>
        <v>498.44245348035827</v>
      </c>
      <c r="I16" s="2">
        <f t="shared" si="2"/>
        <v>516.24396967608538</v>
      </c>
      <c r="J16" s="2">
        <f t="shared" si="2"/>
        <v>516.24396967608538</v>
      </c>
      <c r="K16" s="2">
        <f t="shared" si="2"/>
        <v>516.24396967608538</v>
      </c>
      <c r="L16" s="2">
        <f t="shared" si="2"/>
        <v>516.24396967608538</v>
      </c>
      <c r="M16" s="2">
        <f t="shared" si="2"/>
        <v>516.24396967608538</v>
      </c>
      <c r="N16" s="2">
        <f t="shared" si="2"/>
        <v>516.24396967608538</v>
      </c>
      <c r="O16" s="2">
        <f t="shared" si="2"/>
        <v>516.24396967608538</v>
      </c>
      <c r="P16" s="2">
        <f t="shared" si="2"/>
        <v>516.24396967608538</v>
      </c>
      <c r="Q16" s="2">
        <f t="shared" si="2"/>
        <v>516.24396967608538</v>
      </c>
      <c r="R16" s="2">
        <f t="shared" si="2"/>
        <v>516.24396967608538</v>
      </c>
      <c r="S16" s="2">
        <f t="shared" si="2"/>
        <v>516.24396967608538</v>
      </c>
      <c r="T16" s="2">
        <f t="shared" si="2"/>
        <v>516.24396967608538</v>
      </c>
      <c r="U16" s="2">
        <f t="shared" si="2"/>
        <v>516.24396967608538</v>
      </c>
      <c r="V16" s="2">
        <f t="shared" si="2"/>
        <v>516.24396967608538</v>
      </c>
      <c r="W16" s="2">
        <f t="shared" si="2"/>
        <v>516.24396967608538</v>
      </c>
      <c r="X16" s="2">
        <f t="shared" si="2"/>
        <v>516.24396967608538</v>
      </c>
      <c r="Y16" s="2">
        <f t="shared" si="2"/>
        <v>516.24396967608538</v>
      </c>
      <c r="Z16" s="2">
        <f t="shared" si="2"/>
        <v>516.24396967608538</v>
      </c>
      <c r="AA16" s="2">
        <f t="shared" si="2"/>
        <v>516.24396967608538</v>
      </c>
      <c r="AB16" s="2">
        <f t="shared" si="2"/>
        <v>516.24396967608538</v>
      </c>
      <c r="AC16" s="2">
        <f t="shared" si="2"/>
        <v>516.24396967608538</v>
      </c>
      <c r="AD16" s="2">
        <f t="shared" si="2"/>
        <v>516.24396967608538</v>
      </c>
      <c r="AE16" s="2">
        <f t="shared" si="2"/>
        <v>516.24396967608538</v>
      </c>
      <c r="AF16" s="2">
        <f t="shared" si="2"/>
        <v>516.24396967608538</v>
      </c>
      <c r="AG16" s="2">
        <f t="shared" si="2"/>
        <v>516.24396967608538</v>
      </c>
      <c r="AH16" s="2">
        <f t="shared" si="2"/>
        <v>516.24396967608538</v>
      </c>
      <c r="AI16" s="2">
        <f t="shared" si="2"/>
        <v>516.24396967608538</v>
      </c>
      <c r="AJ16" s="2">
        <f t="shared" si="2"/>
        <v>516.24396967608538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159"/>
  <sheetViews>
    <sheetView topLeftCell="A129" zoomScale="85" zoomScaleNormal="85" workbookViewId="0">
      <selection activeCell="C157" sqref="C157:AJ157"/>
    </sheetView>
  </sheetViews>
  <sheetFormatPr defaultRowHeight="15" x14ac:dyDescent="0.25"/>
  <cols>
    <col min="1" max="1" width="56.140625" style="60" customWidth="1"/>
  </cols>
  <sheetData>
    <row r="1" spans="1:17" x14ac:dyDescent="0.25">
      <c r="A1" s="93" t="s">
        <v>634</v>
      </c>
      <c r="B1" s="55"/>
      <c r="C1" s="55"/>
      <c r="D1" s="55"/>
      <c r="E1" s="55"/>
      <c r="F1" s="55"/>
      <c r="G1" s="55"/>
      <c r="H1" s="55"/>
      <c r="I1" s="55"/>
      <c r="J1" s="55"/>
      <c r="K1" s="55"/>
      <c r="L1" s="55"/>
      <c r="M1" s="55"/>
      <c r="N1" s="55"/>
      <c r="O1" s="55"/>
      <c r="P1" s="55"/>
      <c r="Q1" s="55"/>
    </row>
    <row r="2" spans="1:17" x14ac:dyDescent="0.25">
      <c r="A2" s="29" t="s">
        <v>608</v>
      </c>
      <c r="B2" s="29"/>
      <c r="C2" s="29"/>
      <c r="D2" s="29"/>
      <c r="E2" s="29"/>
      <c r="F2" s="29"/>
      <c r="G2" s="29"/>
      <c r="H2" s="29"/>
      <c r="I2" s="29"/>
      <c r="J2" s="29"/>
    </row>
    <row r="3" spans="1:17" x14ac:dyDescent="0.25">
      <c r="A3" s="29" t="s">
        <v>609</v>
      </c>
      <c r="B3" s="29"/>
      <c r="C3" s="29"/>
      <c r="D3" s="29"/>
      <c r="E3" s="29"/>
      <c r="F3" s="29"/>
      <c r="G3" s="29"/>
      <c r="H3" s="29"/>
      <c r="I3" s="29"/>
      <c r="J3" s="29"/>
    </row>
    <row r="4" spans="1:17" x14ac:dyDescent="0.25">
      <c r="A4" s="27" t="s">
        <v>232</v>
      </c>
      <c r="B4" s="36">
        <v>1990</v>
      </c>
      <c r="C4" s="74"/>
      <c r="D4" s="36">
        <v>2005</v>
      </c>
      <c r="E4" s="75"/>
      <c r="F4" s="36">
        <v>2012</v>
      </c>
      <c r="G4" s="36">
        <v>2013</v>
      </c>
      <c r="H4" s="36">
        <v>2014</v>
      </c>
      <c r="I4" s="36">
        <v>2015</v>
      </c>
      <c r="J4" s="36">
        <v>2016</v>
      </c>
      <c r="K4" t="s">
        <v>628</v>
      </c>
    </row>
    <row r="5" spans="1:17" x14ac:dyDescent="0.25">
      <c r="A5" s="23" t="s">
        <v>610</v>
      </c>
      <c r="B5" s="76">
        <v>147.5</v>
      </c>
      <c r="C5" s="77"/>
      <c r="D5" s="76">
        <v>153.9</v>
      </c>
      <c r="E5" s="78"/>
      <c r="F5" s="76">
        <v>156.69999999999999</v>
      </c>
      <c r="G5" s="76">
        <v>165.5</v>
      </c>
      <c r="H5" s="76">
        <v>165.1</v>
      </c>
      <c r="I5" s="76">
        <v>169.3</v>
      </c>
      <c r="J5" s="76">
        <v>168</v>
      </c>
    </row>
    <row r="6" spans="1:17" x14ac:dyDescent="0.25">
      <c r="A6" s="25" t="s">
        <v>611</v>
      </c>
      <c r="B6" s="79">
        <v>144.1</v>
      </c>
      <c r="C6" s="32"/>
      <c r="D6" s="79">
        <v>150.6</v>
      </c>
      <c r="E6" s="33"/>
      <c r="F6" s="79">
        <v>153.5</v>
      </c>
      <c r="G6" s="79">
        <v>161.9</v>
      </c>
      <c r="H6" s="79">
        <v>161.6</v>
      </c>
      <c r="I6" s="79">
        <v>165.8</v>
      </c>
      <c r="J6" s="79">
        <v>164.6</v>
      </c>
    </row>
    <row r="7" spans="1:17" x14ac:dyDescent="0.25">
      <c r="A7" s="24" t="s">
        <v>612</v>
      </c>
      <c r="B7" s="80">
        <v>53.6</v>
      </c>
      <c r="C7" s="32"/>
      <c r="D7" s="80">
        <v>54.6</v>
      </c>
      <c r="E7" s="33"/>
      <c r="F7" s="80">
        <v>60.4</v>
      </c>
      <c r="G7" s="80">
        <v>63.3</v>
      </c>
      <c r="H7" s="80">
        <v>62.4</v>
      </c>
      <c r="I7" s="80">
        <v>64.099999999999994</v>
      </c>
      <c r="J7" s="80">
        <v>63.6</v>
      </c>
      <c r="K7" t="s">
        <v>629</v>
      </c>
    </row>
    <row r="8" spans="1:17" x14ac:dyDescent="0.25">
      <c r="A8" s="29" t="s">
        <v>613</v>
      </c>
      <c r="B8" s="80">
        <v>10</v>
      </c>
      <c r="C8" s="32"/>
      <c r="D8" s="80">
        <v>10.9</v>
      </c>
      <c r="E8" s="33"/>
      <c r="F8" s="80">
        <v>11.3</v>
      </c>
      <c r="G8" s="80">
        <v>10.8</v>
      </c>
      <c r="H8" s="80">
        <v>10.4</v>
      </c>
      <c r="I8" s="80">
        <v>10.7</v>
      </c>
      <c r="J8" s="80">
        <v>10.6</v>
      </c>
      <c r="K8" t="s">
        <v>630</v>
      </c>
    </row>
    <row r="9" spans="1:17" x14ac:dyDescent="0.25">
      <c r="A9" s="29" t="s">
        <v>614</v>
      </c>
      <c r="B9" s="80">
        <v>22.1</v>
      </c>
      <c r="C9" s="32"/>
      <c r="D9" s="80">
        <v>22.9</v>
      </c>
      <c r="E9" s="33"/>
      <c r="F9" s="80">
        <v>23.5</v>
      </c>
      <c r="G9" s="80">
        <v>25.3</v>
      </c>
      <c r="H9" s="80">
        <v>25.7</v>
      </c>
      <c r="I9" s="80">
        <v>26.4</v>
      </c>
      <c r="J9" s="80">
        <v>26.3</v>
      </c>
      <c r="K9" t="s">
        <v>631</v>
      </c>
    </row>
    <row r="10" spans="1:17" x14ac:dyDescent="0.25">
      <c r="A10" s="24" t="s">
        <v>615</v>
      </c>
      <c r="B10" s="81">
        <v>58.4</v>
      </c>
      <c r="C10" s="32"/>
      <c r="D10" s="81">
        <v>62.2</v>
      </c>
      <c r="E10" s="33"/>
      <c r="F10" s="81">
        <v>58.2</v>
      </c>
      <c r="G10" s="81">
        <v>62.6</v>
      </c>
      <c r="H10" s="81">
        <v>63.1</v>
      </c>
      <c r="I10" s="81">
        <v>64.599999999999994</v>
      </c>
      <c r="J10" s="81">
        <v>64.099999999999994</v>
      </c>
      <c r="K10" t="s">
        <v>632</v>
      </c>
    </row>
    <row r="11" spans="1:17" x14ac:dyDescent="0.25">
      <c r="A11" s="25" t="s">
        <v>616</v>
      </c>
      <c r="B11" s="79">
        <v>3.3</v>
      </c>
      <c r="C11" s="32"/>
      <c r="D11" s="79">
        <v>3.3</v>
      </c>
      <c r="E11" s="33"/>
      <c r="F11" s="79">
        <v>3.2</v>
      </c>
      <c r="G11" s="79">
        <v>3.6</v>
      </c>
      <c r="H11" s="79">
        <v>3.5</v>
      </c>
      <c r="I11" s="79">
        <v>3.5</v>
      </c>
      <c r="J11" s="79">
        <v>3.5</v>
      </c>
      <c r="K11" t="s">
        <v>632</v>
      </c>
    </row>
    <row r="12" spans="1:17" x14ac:dyDescent="0.25">
      <c r="A12" s="25" t="s">
        <v>617</v>
      </c>
      <c r="B12" s="79">
        <v>64.5</v>
      </c>
      <c r="C12" s="32"/>
      <c r="D12" s="79">
        <v>64.599999999999994</v>
      </c>
      <c r="E12" s="33"/>
      <c r="F12" s="79">
        <v>59</v>
      </c>
      <c r="G12" s="79">
        <v>67.900000000000006</v>
      </c>
      <c r="H12" s="79">
        <v>66.3</v>
      </c>
      <c r="I12" s="79">
        <v>75.3</v>
      </c>
      <c r="J12" s="79">
        <v>69.599999999999994</v>
      </c>
    </row>
    <row r="13" spans="1:17" x14ac:dyDescent="0.25">
      <c r="A13" s="25" t="s">
        <v>611</v>
      </c>
      <c r="B13" s="79">
        <v>61.3</v>
      </c>
      <c r="C13" s="32"/>
      <c r="D13" s="79">
        <v>61.1</v>
      </c>
      <c r="E13" s="33"/>
      <c r="F13" s="79">
        <v>55.7</v>
      </c>
      <c r="G13" s="79">
        <v>64.3</v>
      </c>
      <c r="H13" s="79">
        <v>62.7</v>
      </c>
      <c r="I13" s="79">
        <v>71.7</v>
      </c>
      <c r="J13" s="79">
        <v>66</v>
      </c>
    </row>
    <row r="14" spans="1:17" x14ac:dyDescent="0.25">
      <c r="A14" s="24" t="s">
        <v>612</v>
      </c>
      <c r="B14" s="80">
        <v>0.9</v>
      </c>
      <c r="C14" s="32"/>
      <c r="D14" s="80">
        <v>0.8</v>
      </c>
      <c r="E14" s="33"/>
      <c r="F14" s="80">
        <v>0.7</v>
      </c>
      <c r="G14" s="80">
        <v>0.9</v>
      </c>
      <c r="H14" s="80">
        <v>0.8</v>
      </c>
      <c r="I14" s="80">
        <v>1</v>
      </c>
      <c r="J14" s="80">
        <v>0.9</v>
      </c>
      <c r="K14" t="s">
        <v>629</v>
      </c>
    </row>
    <row r="15" spans="1:17" x14ac:dyDescent="0.25">
      <c r="A15" s="24" t="s">
        <v>618</v>
      </c>
      <c r="B15" s="80">
        <v>16.100000000000001</v>
      </c>
      <c r="C15" s="32"/>
      <c r="D15" s="80">
        <v>13.8</v>
      </c>
      <c r="E15" s="33"/>
      <c r="F15" s="80">
        <v>13.3</v>
      </c>
      <c r="G15" s="80">
        <v>15.2</v>
      </c>
      <c r="H15" s="80">
        <v>14.8</v>
      </c>
      <c r="I15" s="80">
        <v>16</v>
      </c>
      <c r="J15" s="80">
        <v>15.2</v>
      </c>
      <c r="K15" t="s">
        <v>630</v>
      </c>
    </row>
    <row r="16" spans="1:17" x14ac:dyDescent="0.25">
      <c r="A16" s="29" t="s">
        <v>619</v>
      </c>
      <c r="B16" s="80">
        <v>0.9</v>
      </c>
      <c r="C16" s="32"/>
      <c r="D16" s="80">
        <v>1.1000000000000001</v>
      </c>
      <c r="E16" s="33"/>
      <c r="F16" s="80">
        <v>1.1000000000000001</v>
      </c>
      <c r="G16" s="80">
        <v>1.2</v>
      </c>
      <c r="H16" s="80">
        <v>1.2</v>
      </c>
      <c r="I16" s="80">
        <v>1.4</v>
      </c>
      <c r="J16" s="80">
        <v>1.3</v>
      </c>
      <c r="K16" t="s">
        <v>630</v>
      </c>
    </row>
    <row r="17" spans="1:13" x14ac:dyDescent="0.25">
      <c r="A17" s="24" t="s">
        <v>620</v>
      </c>
      <c r="B17" s="81">
        <v>0.2</v>
      </c>
      <c r="C17" s="32"/>
      <c r="D17" s="81">
        <v>0.5</v>
      </c>
      <c r="E17" s="33"/>
      <c r="F17" s="81">
        <v>0.6</v>
      </c>
      <c r="G17" s="81">
        <v>0.6</v>
      </c>
      <c r="H17" s="81">
        <v>0.6</v>
      </c>
      <c r="I17" s="81">
        <v>0.6</v>
      </c>
      <c r="J17" s="81">
        <v>0.6</v>
      </c>
      <c r="K17" t="s">
        <v>632</v>
      </c>
    </row>
    <row r="18" spans="1:13" x14ac:dyDescent="0.25">
      <c r="A18" s="29" t="s">
        <v>621</v>
      </c>
      <c r="B18" s="80">
        <v>14.5</v>
      </c>
      <c r="C18" s="32"/>
      <c r="D18" s="80">
        <v>15.8</v>
      </c>
      <c r="E18" s="33"/>
      <c r="F18" s="80">
        <v>14.2</v>
      </c>
      <c r="G18" s="80">
        <v>16.5</v>
      </c>
      <c r="H18" s="80">
        <v>16.100000000000001</v>
      </c>
      <c r="I18" s="80">
        <v>18.7</v>
      </c>
      <c r="J18" s="80">
        <v>17</v>
      </c>
      <c r="K18" t="s">
        <v>631</v>
      </c>
    </row>
    <row r="19" spans="1:13" x14ac:dyDescent="0.25">
      <c r="A19" s="24" t="s">
        <v>615</v>
      </c>
      <c r="B19" s="81">
        <v>28.5</v>
      </c>
      <c r="C19" s="32"/>
      <c r="D19" s="81">
        <v>29.2</v>
      </c>
      <c r="E19" s="33"/>
      <c r="F19" s="81">
        <v>25.8</v>
      </c>
      <c r="G19" s="81">
        <v>29.9</v>
      </c>
      <c r="H19" s="81">
        <v>29.3</v>
      </c>
      <c r="I19" s="81">
        <v>34</v>
      </c>
      <c r="J19" s="81">
        <v>31</v>
      </c>
      <c r="K19" t="s">
        <v>632</v>
      </c>
    </row>
    <row r="20" spans="1:13" x14ac:dyDescent="0.25">
      <c r="A20" s="92" t="s">
        <v>616</v>
      </c>
      <c r="B20" s="82">
        <v>3.3</v>
      </c>
      <c r="C20" s="83"/>
      <c r="D20" s="82">
        <v>3.5</v>
      </c>
      <c r="E20" s="84"/>
      <c r="F20" s="82">
        <v>3.3</v>
      </c>
      <c r="G20" s="82">
        <v>3.6</v>
      </c>
      <c r="H20" s="82">
        <v>3.6</v>
      </c>
      <c r="I20" s="82">
        <v>3.6</v>
      </c>
      <c r="J20" s="82">
        <v>3.6</v>
      </c>
      <c r="K20" t="s">
        <v>632</v>
      </c>
    </row>
    <row r="21" spans="1:13" x14ac:dyDescent="0.25">
      <c r="A21" s="27" t="s">
        <v>225</v>
      </c>
      <c r="B21" s="85">
        <v>212</v>
      </c>
      <c r="C21" s="74"/>
      <c r="D21" s="85">
        <v>218.5</v>
      </c>
      <c r="E21" s="75"/>
      <c r="F21" s="85">
        <v>215.6</v>
      </c>
      <c r="G21" s="85">
        <v>233.3</v>
      </c>
      <c r="H21" s="85">
        <v>231.4</v>
      </c>
      <c r="I21" s="85">
        <v>244.5</v>
      </c>
      <c r="J21" s="85">
        <v>237.6</v>
      </c>
    </row>
    <row r="22" spans="1:13" x14ac:dyDescent="0.25">
      <c r="A22" s="367" t="s">
        <v>622</v>
      </c>
      <c r="B22" s="367"/>
      <c r="C22" s="367"/>
      <c r="D22" s="367"/>
      <c r="E22" s="367"/>
      <c r="F22" s="367"/>
      <c r="G22" s="367"/>
      <c r="H22" s="367"/>
      <c r="I22" s="367"/>
      <c r="J22" s="367"/>
    </row>
    <row r="24" spans="1:13" x14ac:dyDescent="0.25">
      <c r="A24" s="29" t="s">
        <v>623</v>
      </c>
      <c r="B24" s="29"/>
      <c r="C24" s="29"/>
      <c r="D24" s="29"/>
      <c r="E24" s="29"/>
      <c r="F24" s="29"/>
      <c r="G24" s="29"/>
      <c r="H24" s="29"/>
      <c r="I24" s="29"/>
      <c r="J24" s="29"/>
      <c r="K24" s="29"/>
      <c r="L24" s="29"/>
    </row>
    <row r="25" spans="1:13" x14ac:dyDescent="0.25">
      <c r="A25" s="27" t="s">
        <v>232</v>
      </c>
      <c r="B25" s="36">
        <v>1990</v>
      </c>
      <c r="C25" s="86"/>
      <c r="D25" s="87"/>
      <c r="E25" s="36">
        <v>2005</v>
      </c>
      <c r="F25" s="37"/>
      <c r="G25" s="38"/>
      <c r="H25" s="36">
        <v>2012</v>
      </c>
      <c r="I25" s="36">
        <v>2013</v>
      </c>
      <c r="J25" s="36">
        <v>2014</v>
      </c>
      <c r="K25" s="36">
        <v>2015</v>
      </c>
      <c r="L25" s="36">
        <v>2016</v>
      </c>
      <c r="M25" t="s">
        <v>628</v>
      </c>
    </row>
    <row r="26" spans="1:13" x14ac:dyDescent="0.25">
      <c r="A26" s="23" t="s">
        <v>610</v>
      </c>
      <c r="B26" s="76">
        <v>37</v>
      </c>
      <c r="C26" s="88"/>
      <c r="D26" s="89"/>
      <c r="E26" s="76">
        <v>34.4</v>
      </c>
      <c r="F26" s="40"/>
      <c r="G26" s="41"/>
      <c r="H26" s="76">
        <v>25.4</v>
      </c>
      <c r="I26" s="76">
        <v>35.5</v>
      </c>
      <c r="J26" s="76">
        <v>34.9</v>
      </c>
      <c r="K26" s="76">
        <v>41.9</v>
      </c>
      <c r="L26" s="76">
        <v>37.9</v>
      </c>
      <c r="M26" t="s">
        <v>633</v>
      </c>
    </row>
    <row r="27" spans="1:13" x14ac:dyDescent="0.25">
      <c r="A27" s="24" t="s">
        <v>624</v>
      </c>
      <c r="B27" s="81">
        <v>12</v>
      </c>
      <c r="C27" s="32"/>
      <c r="D27" s="32"/>
      <c r="E27" s="81">
        <v>13</v>
      </c>
      <c r="F27" s="33"/>
      <c r="G27" s="33"/>
      <c r="H27" s="81">
        <v>6.5</v>
      </c>
      <c r="I27" s="81">
        <v>7</v>
      </c>
      <c r="J27" s="81">
        <v>7</v>
      </c>
      <c r="K27" s="81">
        <v>7.1</v>
      </c>
      <c r="L27" s="81">
        <v>6.9</v>
      </c>
      <c r="M27" t="s">
        <v>633</v>
      </c>
    </row>
    <row r="28" spans="1:13" x14ac:dyDescent="0.25">
      <c r="A28" s="24" t="s">
        <v>625</v>
      </c>
      <c r="B28" s="80">
        <v>25</v>
      </c>
      <c r="C28" s="32"/>
      <c r="D28" s="32"/>
      <c r="E28" s="80">
        <v>21.4</v>
      </c>
      <c r="F28" s="33"/>
      <c r="G28" s="33"/>
      <c r="H28" s="80">
        <v>18.899999999999999</v>
      </c>
      <c r="I28" s="80">
        <v>28.5</v>
      </c>
      <c r="J28" s="80">
        <v>27.9</v>
      </c>
      <c r="K28" s="80">
        <v>34.799999999999997</v>
      </c>
      <c r="L28" s="80">
        <v>30.9</v>
      </c>
      <c r="M28" t="s">
        <v>633</v>
      </c>
    </row>
    <row r="29" spans="1:13" x14ac:dyDescent="0.25">
      <c r="A29" s="25" t="s">
        <v>617</v>
      </c>
      <c r="B29" s="79">
        <v>7.6</v>
      </c>
      <c r="C29" s="32"/>
      <c r="D29" s="32"/>
      <c r="E29" s="79">
        <v>7</v>
      </c>
      <c r="F29" s="33"/>
      <c r="G29" s="33"/>
      <c r="H29" s="79">
        <v>6.9</v>
      </c>
      <c r="I29" s="79">
        <v>7.8</v>
      </c>
      <c r="J29" s="79">
        <v>7.7</v>
      </c>
      <c r="K29" s="79">
        <v>8.6</v>
      </c>
      <c r="L29" s="79">
        <v>8.1</v>
      </c>
      <c r="M29" t="s">
        <v>633</v>
      </c>
    </row>
    <row r="30" spans="1:13" x14ac:dyDescent="0.25">
      <c r="A30" s="29" t="s">
        <v>626</v>
      </c>
      <c r="B30" s="81">
        <v>4.3</v>
      </c>
      <c r="C30" s="32"/>
      <c r="D30" s="32"/>
      <c r="E30" s="81">
        <v>4.5</v>
      </c>
      <c r="F30" s="33"/>
      <c r="G30" s="33"/>
      <c r="H30" s="81">
        <v>4.2</v>
      </c>
      <c r="I30" s="81">
        <v>4.5999999999999996</v>
      </c>
      <c r="J30" s="81">
        <v>4.5999999999999996</v>
      </c>
      <c r="K30" s="81">
        <v>5.0999999999999996</v>
      </c>
      <c r="L30" s="81">
        <v>4.8</v>
      </c>
      <c r="M30" t="s">
        <v>633</v>
      </c>
    </row>
    <row r="31" spans="1:13" x14ac:dyDescent="0.25">
      <c r="A31" s="26" t="s">
        <v>625</v>
      </c>
      <c r="B31" s="82">
        <v>3.2</v>
      </c>
      <c r="C31" s="90"/>
      <c r="D31" s="91"/>
      <c r="E31" s="82">
        <v>2.5</v>
      </c>
      <c r="F31" s="46"/>
      <c r="G31" s="47"/>
      <c r="H31" s="82">
        <v>2.6</v>
      </c>
      <c r="I31" s="82">
        <v>3.1</v>
      </c>
      <c r="J31" s="82">
        <v>3.1</v>
      </c>
      <c r="K31" s="82">
        <v>3.5</v>
      </c>
      <c r="L31" s="82">
        <v>3.3</v>
      </c>
      <c r="M31" t="s">
        <v>633</v>
      </c>
    </row>
    <row r="32" spans="1:13" x14ac:dyDescent="0.25">
      <c r="A32" s="27" t="s">
        <v>225</v>
      </c>
      <c r="B32" s="85">
        <v>44.6</v>
      </c>
      <c r="C32" s="86"/>
      <c r="D32" s="87"/>
      <c r="E32" s="85">
        <v>41.4</v>
      </c>
      <c r="F32" s="37"/>
      <c r="G32" s="38"/>
      <c r="H32" s="85">
        <v>32.299999999999997</v>
      </c>
      <c r="I32" s="85">
        <v>43.3</v>
      </c>
      <c r="J32" s="85">
        <v>42.6</v>
      </c>
      <c r="K32" s="85">
        <v>50.5</v>
      </c>
      <c r="L32" s="85">
        <v>45.9</v>
      </c>
    </row>
    <row r="33" spans="1:46" x14ac:dyDescent="0.25">
      <c r="A33" s="368" t="s">
        <v>627</v>
      </c>
      <c r="B33" s="368"/>
      <c r="C33" s="368"/>
      <c r="D33" s="368"/>
      <c r="E33" s="368"/>
      <c r="F33" s="368"/>
      <c r="G33" s="368"/>
      <c r="H33" s="368"/>
      <c r="I33" s="368"/>
      <c r="J33" s="368"/>
      <c r="K33" s="368"/>
      <c r="L33" s="368"/>
    </row>
    <row r="35" spans="1:46" x14ac:dyDescent="0.25">
      <c r="A35" s="94" t="s">
        <v>629</v>
      </c>
      <c r="B35" s="73"/>
      <c r="C35" s="73"/>
      <c r="D35" s="73"/>
      <c r="E35" s="73"/>
      <c r="F35" s="73"/>
      <c r="G35" s="73"/>
      <c r="H35" s="73"/>
      <c r="I35" s="73"/>
      <c r="J35" s="73"/>
      <c r="K35" s="73"/>
      <c r="L35" s="73"/>
      <c r="M35" s="73"/>
      <c r="N35" s="73"/>
      <c r="O35" s="73"/>
      <c r="P35" s="73"/>
      <c r="Q35" s="73"/>
    </row>
    <row r="36" spans="1:46" x14ac:dyDescent="0.25">
      <c r="A36" s="93" t="s">
        <v>636</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row>
    <row r="37" spans="1:46" x14ac:dyDescent="0.25">
      <c r="B37">
        <v>2006</v>
      </c>
      <c r="C37">
        <v>2007</v>
      </c>
      <c r="D37">
        <v>2008</v>
      </c>
      <c r="E37">
        <v>2009</v>
      </c>
      <c r="F37">
        <v>2010</v>
      </c>
      <c r="G37">
        <v>2011</v>
      </c>
      <c r="H37">
        <v>2012</v>
      </c>
      <c r="I37">
        <v>2013</v>
      </c>
      <c r="J37">
        <v>2014</v>
      </c>
      <c r="K37">
        <v>2015</v>
      </c>
      <c r="L37">
        <v>2016</v>
      </c>
      <c r="M37">
        <v>2017</v>
      </c>
      <c r="N37">
        <v>2018</v>
      </c>
      <c r="O37">
        <v>2019</v>
      </c>
      <c r="P37">
        <v>2020</v>
      </c>
      <c r="Q37">
        <v>2021</v>
      </c>
      <c r="R37">
        <v>2022</v>
      </c>
      <c r="S37">
        <v>2023</v>
      </c>
      <c r="T37">
        <v>2024</v>
      </c>
      <c r="U37">
        <v>2025</v>
      </c>
      <c r="V37">
        <v>2026</v>
      </c>
      <c r="W37">
        <v>2027</v>
      </c>
      <c r="X37">
        <v>2028</v>
      </c>
      <c r="Y37">
        <v>2029</v>
      </c>
      <c r="Z37">
        <v>2030</v>
      </c>
      <c r="AA37">
        <v>2031</v>
      </c>
      <c r="AB37">
        <v>2032</v>
      </c>
      <c r="AC37">
        <v>2033</v>
      </c>
      <c r="AD37">
        <v>2034</v>
      </c>
      <c r="AE37">
        <v>2035</v>
      </c>
      <c r="AF37">
        <v>2036</v>
      </c>
      <c r="AG37">
        <v>2037</v>
      </c>
      <c r="AH37">
        <v>2038</v>
      </c>
      <c r="AI37">
        <v>2039</v>
      </c>
      <c r="AJ37">
        <v>2040</v>
      </c>
      <c r="AK37">
        <v>2041</v>
      </c>
      <c r="AL37">
        <v>2042</v>
      </c>
      <c r="AM37">
        <v>2043</v>
      </c>
      <c r="AN37">
        <v>2044</v>
      </c>
      <c r="AO37">
        <v>2045</v>
      </c>
      <c r="AP37">
        <v>2046</v>
      </c>
      <c r="AQ37">
        <v>2047</v>
      </c>
      <c r="AR37">
        <v>2048</v>
      </c>
      <c r="AS37">
        <v>2049</v>
      </c>
      <c r="AT37">
        <v>2050</v>
      </c>
    </row>
    <row r="38" spans="1:46" x14ac:dyDescent="0.25">
      <c r="A38" s="60" t="s">
        <v>635</v>
      </c>
      <c r="B38">
        <v>6495</v>
      </c>
      <c r="C38">
        <v>10263</v>
      </c>
      <c r="D38">
        <v>9850</v>
      </c>
      <c r="E38">
        <v>9755</v>
      </c>
      <c r="F38">
        <v>9912</v>
      </c>
      <c r="G38">
        <v>9935</v>
      </c>
      <c r="H38">
        <v>10101</v>
      </c>
      <c r="I38">
        <v>10101</v>
      </c>
      <c r="J38">
        <v>10101</v>
      </c>
      <c r="K38">
        <v>10101</v>
      </c>
    </row>
    <row r="39" spans="1:46" x14ac:dyDescent="0.25">
      <c r="A39" s="60" t="s">
        <v>637</v>
      </c>
      <c r="B39">
        <v>1755</v>
      </c>
      <c r="C39">
        <v>1584</v>
      </c>
      <c r="D39">
        <v>1453</v>
      </c>
      <c r="E39">
        <v>1212</v>
      </c>
      <c r="F39">
        <v>1433</v>
      </c>
      <c r="G39">
        <v>1815</v>
      </c>
      <c r="H39">
        <v>2017</v>
      </c>
      <c r="I39">
        <v>1653</v>
      </c>
      <c r="J39">
        <v>1647</v>
      </c>
      <c r="K39">
        <v>1658</v>
      </c>
    </row>
    <row r="40" spans="1:46" x14ac:dyDescent="0.25">
      <c r="A40" s="60" t="s">
        <v>638</v>
      </c>
      <c r="B40">
        <f>SUM(B38:B39)</f>
        <v>8250</v>
      </c>
      <c r="C40">
        <f t="shared" ref="C40:K40" si="0">SUM(C38:C39)</f>
        <v>11847</v>
      </c>
      <c r="D40">
        <f t="shared" si="0"/>
        <v>11303</v>
      </c>
      <c r="E40">
        <f t="shared" si="0"/>
        <v>10967</v>
      </c>
      <c r="F40">
        <f t="shared" si="0"/>
        <v>11345</v>
      </c>
      <c r="G40">
        <f t="shared" si="0"/>
        <v>11750</v>
      </c>
      <c r="H40">
        <f t="shared" si="0"/>
        <v>12118</v>
      </c>
      <c r="I40">
        <f t="shared" si="0"/>
        <v>11754</v>
      </c>
      <c r="J40">
        <f t="shared" si="0"/>
        <v>11748</v>
      </c>
      <c r="K40">
        <f t="shared" si="0"/>
        <v>11759</v>
      </c>
      <c r="L40" s="2">
        <f>K40</f>
        <v>11759</v>
      </c>
      <c r="M40" s="2">
        <f t="shared" ref="M40:AT40" si="1">L40</f>
        <v>11759</v>
      </c>
      <c r="N40" s="2">
        <f t="shared" si="1"/>
        <v>11759</v>
      </c>
      <c r="O40" s="2">
        <f t="shared" si="1"/>
        <v>11759</v>
      </c>
      <c r="P40" s="2">
        <f t="shared" si="1"/>
        <v>11759</v>
      </c>
      <c r="Q40" s="2">
        <f t="shared" si="1"/>
        <v>11759</v>
      </c>
      <c r="R40" s="2">
        <f t="shared" si="1"/>
        <v>11759</v>
      </c>
      <c r="S40" s="2">
        <f t="shared" si="1"/>
        <v>11759</v>
      </c>
      <c r="T40" s="2">
        <f t="shared" si="1"/>
        <v>11759</v>
      </c>
      <c r="U40" s="2">
        <f t="shared" si="1"/>
        <v>11759</v>
      </c>
      <c r="V40" s="2">
        <f t="shared" si="1"/>
        <v>11759</v>
      </c>
      <c r="W40" s="2">
        <f t="shared" si="1"/>
        <v>11759</v>
      </c>
      <c r="X40" s="2">
        <f t="shared" si="1"/>
        <v>11759</v>
      </c>
      <c r="Y40" s="2">
        <f t="shared" si="1"/>
        <v>11759</v>
      </c>
      <c r="Z40" s="2">
        <f t="shared" si="1"/>
        <v>11759</v>
      </c>
      <c r="AA40" s="2">
        <f t="shared" si="1"/>
        <v>11759</v>
      </c>
      <c r="AB40" s="2">
        <f t="shared" si="1"/>
        <v>11759</v>
      </c>
      <c r="AC40" s="2">
        <f t="shared" si="1"/>
        <v>11759</v>
      </c>
      <c r="AD40" s="2">
        <f t="shared" si="1"/>
        <v>11759</v>
      </c>
      <c r="AE40" s="2">
        <f t="shared" si="1"/>
        <v>11759</v>
      </c>
      <c r="AF40" s="2">
        <f t="shared" si="1"/>
        <v>11759</v>
      </c>
      <c r="AG40" s="2">
        <f t="shared" si="1"/>
        <v>11759</v>
      </c>
      <c r="AH40" s="2">
        <f t="shared" si="1"/>
        <v>11759</v>
      </c>
      <c r="AI40" s="2">
        <f t="shared" si="1"/>
        <v>11759</v>
      </c>
      <c r="AJ40" s="2">
        <f t="shared" si="1"/>
        <v>11759</v>
      </c>
      <c r="AK40" s="2">
        <f t="shared" si="1"/>
        <v>11759</v>
      </c>
      <c r="AL40" s="2">
        <f t="shared" si="1"/>
        <v>11759</v>
      </c>
      <c r="AM40" s="2">
        <f t="shared" si="1"/>
        <v>11759</v>
      </c>
      <c r="AN40" s="2">
        <f t="shared" si="1"/>
        <v>11759</v>
      </c>
      <c r="AO40" s="2">
        <f t="shared" si="1"/>
        <v>11759</v>
      </c>
      <c r="AP40" s="2">
        <f t="shared" si="1"/>
        <v>11759</v>
      </c>
      <c r="AQ40" s="2">
        <f t="shared" si="1"/>
        <v>11759</v>
      </c>
      <c r="AR40" s="2">
        <f t="shared" si="1"/>
        <v>11759</v>
      </c>
      <c r="AS40" s="2">
        <f t="shared" si="1"/>
        <v>11759</v>
      </c>
      <c r="AT40" s="2">
        <f t="shared" si="1"/>
        <v>11759</v>
      </c>
    </row>
    <row r="42" spans="1:46" x14ac:dyDescent="0.25">
      <c r="A42" s="93" t="s">
        <v>740</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row>
    <row r="43" spans="1:46" x14ac:dyDescent="0.25">
      <c r="B43">
        <v>2015</v>
      </c>
      <c r="C43">
        <v>2016</v>
      </c>
      <c r="D43">
        <v>2017</v>
      </c>
      <c r="E43">
        <v>2018</v>
      </c>
      <c r="F43">
        <v>2019</v>
      </c>
      <c r="G43">
        <v>2020</v>
      </c>
      <c r="H43">
        <v>2021</v>
      </c>
      <c r="I43">
        <v>2022</v>
      </c>
      <c r="J43">
        <v>2023</v>
      </c>
      <c r="K43">
        <v>2024</v>
      </c>
      <c r="L43">
        <v>2025</v>
      </c>
      <c r="M43">
        <v>2026</v>
      </c>
      <c r="N43">
        <v>2027</v>
      </c>
      <c r="O43">
        <v>2028</v>
      </c>
      <c r="P43">
        <v>2029</v>
      </c>
      <c r="Q43">
        <v>2030</v>
      </c>
      <c r="R43">
        <v>2031</v>
      </c>
      <c r="S43">
        <v>2032</v>
      </c>
      <c r="T43">
        <v>2033</v>
      </c>
      <c r="U43">
        <v>2034</v>
      </c>
      <c r="V43">
        <v>2035</v>
      </c>
      <c r="W43">
        <v>2036</v>
      </c>
      <c r="X43">
        <v>2037</v>
      </c>
      <c r="Y43">
        <v>2038</v>
      </c>
      <c r="Z43">
        <v>2039</v>
      </c>
      <c r="AA43">
        <v>2040</v>
      </c>
      <c r="AB43">
        <v>2041</v>
      </c>
      <c r="AC43">
        <v>2042</v>
      </c>
      <c r="AD43">
        <v>2043</v>
      </c>
      <c r="AE43">
        <v>2044</v>
      </c>
      <c r="AF43">
        <v>2045</v>
      </c>
      <c r="AG43">
        <v>2046</v>
      </c>
      <c r="AH43">
        <v>2047</v>
      </c>
      <c r="AI43">
        <v>2048</v>
      </c>
      <c r="AJ43">
        <v>2049</v>
      </c>
      <c r="AK43">
        <v>2050</v>
      </c>
    </row>
    <row r="44" spans="1:46" x14ac:dyDescent="0.25">
      <c r="A44" s="60" t="s">
        <v>756</v>
      </c>
      <c r="B44" s="100">
        <f>SUM(J7,J14)/'Cross-Page Data'!D13*1000</f>
        <v>216.44295302013421</v>
      </c>
      <c r="C44">
        <f>$B$44*L40/$K$40</f>
        <v>216.44295302013421</v>
      </c>
      <c r="D44">
        <f t="shared" ref="D44:AE44" si="2">$B$44*M40/$K$40</f>
        <v>216.44295302013421</v>
      </c>
      <c r="E44">
        <f t="shared" si="2"/>
        <v>216.44295302013421</v>
      </c>
      <c r="F44">
        <f t="shared" si="2"/>
        <v>216.44295302013421</v>
      </c>
      <c r="G44">
        <f t="shared" si="2"/>
        <v>216.44295302013421</v>
      </c>
      <c r="H44">
        <f t="shared" si="2"/>
        <v>216.44295302013421</v>
      </c>
      <c r="I44">
        <f t="shared" si="2"/>
        <v>216.44295302013421</v>
      </c>
      <c r="J44">
        <f t="shared" si="2"/>
        <v>216.44295302013421</v>
      </c>
      <c r="K44">
        <f t="shared" si="2"/>
        <v>216.44295302013421</v>
      </c>
      <c r="L44">
        <f t="shared" si="2"/>
        <v>216.44295302013421</v>
      </c>
      <c r="M44">
        <f t="shared" si="2"/>
        <v>216.44295302013421</v>
      </c>
      <c r="N44">
        <f t="shared" si="2"/>
        <v>216.44295302013421</v>
      </c>
      <c r="O44">
        <f t="shared" si="2"/>
        <v>216.44295302013421</v>
      </c>
      <c r="P44">
        <f t="shared" si="2"/>
        <v>216.44295302013421</v>
      </c>
      <c r="Q44">
        <f t="shared" si="2"/>
        <v>216.44295302013421</v>
      </c>
      <c r="R44">
        <f t="shared" si="2"/>
        <v>216.44295302013421</v>
      </c>
      <c r="S44">
        <f t="shared" si="2"/>
        <v>216.44295302013421</v>
      </c>
      <c r="T44">
        <f t="shared" si="2"/>
        <v>216.44295302013421</v>
      </c>
      <c r="U44">
        <f t="shared" si="2"/>
        <v>216.44295302013421</v>
      </c>
      <c r="V44">
        <f t="shared" si="2"/>
        <v>216.44295302013421</v>
      </c>
      <c r="W44">
        <f t="shared" si="2"/>
        <v>216.44295302013421</v>
      </c>
      <c r="X44">
        <f t="shared" si="2"/>
        <v>216.44295302013421</v>
      </c>
      <c r="Y44">
        <f t="shared" si="2"/>
        <v>216.44295302013421</v>
      </c>
      <c r="Z44">
        <f t="shared" si="2"/>
        <v>216.44295302013421</v>
      </c>
      <c r="AA44">
        <f t="shared" si="2"/>
        <v>216.44295302013421</v>
      </c>
      <c r="AB44">
        <f t="shared" si="2"/>
        <v>216.44295302013421</v>
      </c>
      <c r="AC44">
        <f t="shared" si="2"/>
        <v>216.44295302013421</v>
      </c>
      <c r="AD44">
        <f t="shared" si="2"/>
        <v>216.44295302013421</v>
      </c>
      <c r="AE44">
        <f t="shared" si="2"/>
        <v>216.44295302013421</v>
      </c>
      <c r="AF44">
        <f t="shared" ref="AF44" si="3">$B$44*AO40/$K$40</f>
        <v>216.44295302013421</v>
      </c>
      <c r="AG44">
        <f t="shared" ref="AG44" si="4">$B$44*AP40/$K$40</f>
        <v>216.44295302013421</v>
      </c>
      <c r="AH44">
        <f t="shared" ref="AH44" si="5">$B$44*AQ40/$K$40</f>
        <v>216.44295302013421</v>
      </c>
      <c r="AI44">
        <f t="shared" ref="AI44" si="6">$B$44*AR40/$K$40</f>
        <v>216.44295302013421</v>
      </c>
      <c r="AJ44">
        <f t="shared" ref="AJ44" si="7">$B$44*AS40/$K$40</f>
        <v>216.44295302013421</v>
      </c>
      <c r="AK44">
        <f t="shared" ref="AK44" si="8">$B$44*AT40/$K$40</f>
        <v>216.44295302013421</v>
      </c>
    </row>
    <row r="45" spans="1:46" x14ac:dyDescent="0.25">
      <c r="B45" s="100"/>
    </row>
    <row r="46" spans="1:46" x14ac:dyDescent="0.25">
      <c r="A46" s="94" t="s">
        <v>741</v>
      </c>
      <c r="B46" s="73"/>
      <c r="C46" s="73"/>
      <c r="D46" s="73"/>
      <c r="E46" s="73"/>
      <c r="F46" s="73"/>
      <c r="G46" s="73"/>
      <c r="H46" s="73"/>
      <c r="I46" s="73"/>
      <c r="J46" s="73"/>
      <c r="K46" s="73"/>
      <c r="L46" s="73"/>
      <c r="M46" s="73"/>
      <c r="N46" s="73"/>
      <c r="O46" s="73"/>
      <c r="P46" s="73"/>
      <c r="Q46" s="73"/>
    </row>
    <row r="47" spans="1:46" x14ac:dyDescent="0.25">
      <c r="A47" s="93" t="s">
        <v>631</v>
      </c>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row>
    <row r="48" spans="1:46" x14ac:dyDescent="0.25">
      <c r="A48" s="60" t="s">
        <v>738</v>
      </c>
      <c r="B48">
        <v>2015</v>
      </c>
      <c r="C48">
        <v>2016</v>
      </c>
      <c r="D48">
        <v>2017</v>
      </c>
      <c r="E48">
        <v>2018</v>
      </c>
      <c r="F48">
        <v>2019</v>
      </c>
      <c r="G48">
        <v>2020</v>
      </c>
      <c r="H48">
        <v>2021</v>
      </c>
      <c r="I48">
        <v>2022</v>
      </c>
      <c r="J48">
        <v>2023</v>
      </c>
      <c r="K48">
        <v>2024</v>
      </c>
      <c r="L48">
        <v>2025</v>
      </c>
      <c r="M48">
        <v>2026</v>
      </c>
      <c r="N48">
        <v>2027</v>
      </c>
      <c r="O48">
        <v>2028</v>
      </c>
      <c r="P48">
        <v>2029</v>
      </c>
      <c r="Q48">
        <v>2030</v>
      </c>
      <c r="R48">
        <v>2031</v>
      </c>
      <c r="S48">
        <v>2032</v>
      </c>
      <c r="T48">
        <v>2033</v>
      </c>
      <c r="U48">
        <v>2034</v>
      </c>
      <c r="V48">
        <v>2035</v>
      </c>
      <c r="W48">
        <v>2036</v>
      </c>
      <c r="X48">
        <v>2037</v>
      </c>
      <c r="Y48">
        <v>2038</v>
      </c>
      <c r="Z48">
        <v>2039</v>
      </c>
      <c r="AA48">
        <v>2040</v>
      </c>
      <c r="AB48">
        <v>2041</v>
      </c>
      <c r="AC48">
        <v>2042</v>
      </c>
      <c r="AD48">
        <v>2043</v>
      </c>
      <c r="AE48">
        <v>2044</v>
      </c>
      <c r="AF48">
        <v>2045</v>
      </c>
      <c r="AG48">
        <v>2046</v>
      </c>
      <c r="AH48">
        <v>2047</v>
      </c>
      <c r="AI48">
        <v>2048</v>
      </c>
      <c r="AJ48">
        <v>2049</v>
      </c>
      <c r="AK48">
        <v>2050</v>
      </c>
    </row>
    <row r="49" spans="1:46" x14ac:dyDescent="0.25">
      <c r="A49" s="60" t="s">
        <v>728</v>
      </c>
      <c r="B49">
        <v>80.7</v>
      </c>
      <c r="C49">
        <v>86.7</v>
      </c>
      <c r="D49">
        <v>83.1</v>
      </c>
      <c r="E49">
        <v>83.7</v>
      </c>
      <c r="F49">
        <v>82.7</v>
      </c>
      <c r="G49">
        <v>82.7</v>
      </c>
      <c r="H49">
        <v>82.2</v>
      </c>
      <c r="I49">
        <v>82.2</v>
      </c>
      <c r="J49">
        <v>81.2</v>
      </c>
      <c r="K49">
        <v>81.2</v>
      </c>
      <c r="L49">
        <v>80.7</v>
      </c>
      <c r="M49">
        <v>80.2</v>
      </c>
      <c r="N49" s="65">
        <v>80.2</v>
      </c>
      <c r="O49" s="362">
        <f>($N49-$I49)/COUNT($J$48:$N$48)+N49</f>
        <v>79.8</v>
      </c>
      <c r="P49" s="362">
        <f t="shared" ref="P49:AK58" si="9">($M49-$H49)/COUNT($I$48:$M$48)+O49</f>
        <v>79.399999999999991</v>
      </c>
      <c r="Q49" s="362">
        <f t="shared" si="9"/>
        <v>78.999999999999986</v>
      </c>
      <c r="R49" s="362">
        <f t="shared" si="9"/>
        <v>78.59999999999998</v>
      </c>
      <c r="S49" s="362">
        <f t="shared" si="9"/>
        <v>78.199999999999974</v>
      </c>
      <c r="T49" s="362">
        <f t="shared" si="9"/>
        <v>77.799999999999969</v>
      </c>
      <c r="U49" s="362">
        <f t="shared" si="9"/>
        <v>77.399999999999963</v>
      </c>
      <c r="V49" s="362">
        <f t="shared" si="9"/>
        <v>76.999999999999957</v>
      </c>
      <c r="W49" s="362">
        <f t="shared" si="9"/>
        <v>76.599999999999952</v>
      </c>
      <c r="X49" s="362">
        <f t="shared" si="9"/>
        <v>76.199999999999946</v>
      </c>
      <c r="Y49" s="362">
        <f t="shared" si="9"/>
        <v>75.79999999999994</v>
      </c>
      <c r="Z49" s="362">
        <f t="shared" si="9"/>
        <v>75.399999999999935</v>
      </c>
      <c r="AA49" s="362">
        <f t="shared" si="9"/>
        <v>74.999999999999929</v>
      </c>
      <c r="AB49" s="362">
        <f t="shared" si="9"/>
        <v>74.599999999999923</v>
      </c>
      <c r="AC49" s="362">
        <f t="shared" si="9"/>
        <v>74.199999999999918</v>
      </c>
      <c r="AD49" s="362">
        <f t="shared" si="9"/>
        <v>73.799999999999912</v>
      </c>
      <c r="AE49" s="362">
        <f t="shared" si="9"/>
        <v>73.399999999999906</v>
      </c>
      <c r="AF49" s="362">
        <f t="shared" si="9"/>
        <v>72.999999999999901</v>
      </c>
      <c r="AG49" s="362">
        <f t="shared" si="9"/>
        <v>72.599999999999895</v>
      </c>
      <c r="AH49" s="362">
        <f t="shared" si="9"/>
        <v>72.199999999999889</v>
      </c>
      <c r="AI49" s="362">
        <f t="shared" si="9"/>
        <v>71.799999999999883</v>
      </c>
      <c r="AJ49" s="362">
        <f t="shared" si="9"/>
        <v>71.399999999999878</v>
      </c>
      <c r="AK49" s="362">
        <f t="shared" si="9"/>
        <v>70.999999999999872</v>
      </c>
    </row>
    <row r="50" spans="1:46" x14ac:dyDescent="0.25">
      <c r="A50" s="60" t="s">
        <v>729</v>
      </c>
      <c r="B50">
        <v>7.9</v>
      </c>
      <c r="C50">
        <v>6.2</v>
      </c>
      <c r="D50">
        <v>5</v>
      </c>
      <c r="E50">
        <v>5.7</v>
      </c>
      <c r="F50">
        <v>5.7</v>
      </c>
      <c r="G50">
        <v>5.7</v>
      </c>
      <c r="H50">
        <v>5.7</v>
      </c>
      <c r="I50">
        <v>5.7</v>
      </c>
      <c r="J50">
        <v>5.7</v>
      </c>
      <c r="K50">
        <v>5.7</v>
      </c>
      <c r="L50">
        <v>5.7</v>
      </c>
      <c r="M50">
        <v>5.7</v>
      </c>
      <c r="N50" s="65">
        <v>5.7</v>
      </c>
      <c r="O50" s="362">
        <f t="shared" ref="O50:O58" si="10">($N50-$I50)/COUNT($J$48:$N$48)+N50</f>
        <v>5.7</v>
      </c>
      <c r="P50" s="362">
        <f t="shared" ref="P50:AC50" si="11">($M50-$H50)/COUNT($I$48:$M$48)+O50</f>
        <v>5.7</v>
      </c>
      <c r="Q50" s="362">
        <f t="shared" si="11"/>
        <v>5.7</v>
      </c>
      <c r="R50" s="362">
        <f t="shared" si="11"/>
        <v>5.7</v>
      </c>
      <c r="S50" s="362">
        <f t="shared" si="11"/>
        <v>5.7</v>
      </c>
      <c r="T50" s="362">
        <f t="shared" si="11"/>
        <v>5.7</v>
      </c>
      <c r="U50" s="362">
        <f t="shared" si="11"/>
        <v>5.7</v>
      </c>
      <c r="V50" s="362">
        <f t="shared" si="11"/>
        <v>5.7</v>
      </c>
      <c r="W50" s="362">
        <f t="shared" si="11"/>
        <v>5.7</v>
      </c>
      <c r="X50" s="362">
        <f t="shared" si="11"/>
        <v>5.7</v>
      </c>
      <c r="Y50" s="362">
        <f t="shared" si="11"/>
        <v>5.7</v>
      </c>
      <c r="Z50" s="362">
        <f t="shared" si="11"/>
        <v>5.7</v>
      </c>
      <c r="AA50" s="362">
        <f t="shared" si="11"/>
        <v>5.7</v>
      </c>
      <c r="AB50" s="362">
        <f t="shared" si="11"/>
        <v>5.7</v>
      </c>
      <c r="AC50" s="362">
        <f t="shared" si="11"/>
        <v>5.7</v>
      </c>
      <c r="AD50" s="362">
        <f t="shared" si="9"/>
        <v>5.7</v>
      </c>
      <c r="AE50" s="362">
        <f t="shared" si="9"/>
        <v>5.7</v>
      </c>
      <c r="AF50" s="362">
        <f t="shared" si="9"/>
        <v>5.7</v>
      </c>
      <c r="AG50" s="362">
        <f t="shared" si="9"/>
        <v>5.7</v>
      </c>
      <c r="AH50" s="362">
        <f t="shared" si="9"/>
        <v>5.7</v>
      </c>
      <c r="AI50" s="362">
        <f t="shared" si="9"/>
        <v>5.7</v>
      </c>
      <c r="AJ50" s="362">
        <f t="shared" si="9"/>
        <v>5.7</v>
      </c>
      <c r="AK50" s="362">
        <f t="shared" si="9"/>
        <v>5.7</v>
      </c>
    </row>
    <row r="51" spans="1:46" x14ac:dyDescent="0.25">
      <c r="A51" s="60" t="s">
        <v>730</v>
      </c>
      <c r="B51">
        <v>3.2</v>
      </c>
      <c r="C51">
        <v>2.6</v>
      </c>
      <c r="D51">
        <v>2</v>
      </c>
      <c r="E51">
        <v>2.6</v>
      </c>
      <c r="F51">
        <v>2.6</v>
      </c>
      <c r="G51">
        <v>2.6</v>
      </c>
      <c r="H51">
        <v>2.6</v>
      </c>
      <c r="I51">
        <v>2.5</v>
      </c>
      <c r="J51">
        <v>2.5</v>
      </c>
      <c r="K51">
        <v>2.5</v>
      </c>
      <c r="L51">
        <v>2.5</v>
      </c>
      <c r="M51">
        <v>2.5</v>
      </c>
      <c r="N51" s="65">
        <v>2.5</v>
      </c>
      <c r="O51" s="362">
        <f t="shared" si="10"/>
        <v>2.5</v>
      </c>
      <c r="P51" s="362">
        <f t="shared" si="9"/>
        <v>2.48</v>
      </c>
      <c r="Q51" s="362">
        <f t="shared" si="9"/>
        <v>2.46</v>
      </c>
      <c r="R51" s="362">
        <f t="shared" si="9"/>
        <v>2.44</v>
      </c>
      <c r="S51" s="362">
        <f t="shared" si="9"/>
        <v>2.42</v>
      </c>
      <c r="T51" s="362">
        <f t="shared" si="9"/>
        <v>2.4</v>
      </c>
      <c r="U51" s="362">
        <f t="shared" si="9"/>
        <v>2.38</v>
      </c>
      <c r="V51" s="362">
        <f t="shared" si="9"/>
        <v>2.36</v>
      </c>
      <c r="W51" s="362">
        <f t="shared" si="9"/>
        <v>2.34</v>
      </c>
      <c r="X51" s="362">
        <f t="shared" si="9"/>
        <v>2.3199999999999998</v>
      </c>
      <c r="Y51" s="362">
        <f t="shared" si="9"/>
        <v>2.2999999999999998</v>
      </c>
      <c r="Z51" s="362">
        <f t="shared" si="9"/>
        <v>2.2799999999999998</v>
      </c>
      <c r="AA51" s="362">
        <f t="shared" si="9"/>
        <v>2.2599999999999998</v>
      </c>
      <c r="AB51" s="362">
        <f t="shared" si="9"/>
        <v>2.2399999999999998</v>
      </c>
      <c r="AC51" s="362">
        <f t="shared" si="9"/>
        <v>2.2199999999999998</v>
      </c>
      <c r="AD51" s="362">
        <f t="shared" si="9"/>
        <v>2.1999999999999997</v>
      </c>
      <c r="AE51" s="362">
        <f t="shared" si="9"/>
        <v>2.1799999999999997</v>
      </c>
      <c r="AF51" s="362">
        <f t="shared" si="9"/>
        <v>2.1599999999999997</v>
      </c>
      <c r="AG51" s="362">
        <f t="shared" si="9"/>
        <v>2.1399999999999997</v>
      </c>
      <c r="AH51" s="362">
        <f t="shared" si="9"/>
        <v>2.1199999999999997</v>
      </c>
      <c r="AI51" s="362">
        <f t="shared" si="9"/>
        <v>2.0999999999999996</v>
      </c>
      <c r="AJ51" s="362">
        <f t="shared" si="9"/>
        <v>2.0799999999999996</v>
      </c>
      <c r="AK51" s="362">
        <f t="shared" si="9"/>
        <v>2.0599999999999996</v>
      </c>
    </row>
    <row r="52" spans="1:46" x14ac:dyDescent="0.25">
      <c r="A52" s="60" t="s">
        <v>731</v>
      </c>
      <c r="B52">
        <v>1.3</v>
      </c>
      <c r="C52">
        <v>1</v>
      </c>
      <c r="D52">
        <v>0.8</v>
      </c>
      <c r="E52">
        <v>1.1000000000000001</v>
      </c>
      <c r="F52">
        <v>1</v>
      </c>
      <c r="G52">
        <v>1</v>
      </c>
      <c r="H52">
        <v>1</v>
      </c>
      <c r="I52">
        <v>1</v>
      </c>
      <c r="J52">
        <v>1</v>
      </c>
      <c r="K52">
        <v>1</v>
      </c>
      <c r="L52">
        <v>0.9</v>
      </c>
      <c r="M52">
        <v>0.9</v>
      </c>
      <c r="N52" s="65">
        <v>0.9</v>
      </c>
      <c r="O52" s="362">
        <f t="shared" si="10"/>
        <v>0.88</v>
      </c>
      <c r="P52" s="362">
        <f t="shared" si="9"/>
        <v>0.86</v>
      </c>
      <c r="Q52" s="362">
        <f t="shared" si="9"/>
        <v>0.84</v>
      </c>
      <c r="R52" s="362">
        <f t="shared" si="9"/>
        <v>0.82</v>
      </c>
      <c r="S52" s="362">
        <f t="shared" si="9"/>
        <v>0.79999999999999993</v>
      </c>
      <c r="T52" s="362">
        <f t="shared" si="9"/>
        <v>0.77999999999999992</v>
      </c>
      <c r="U52" s="362">
        <f t="shared" si="9"/>
        <v>0.7599999999999999</v>
      </c>
      <c r="V52" s="362">
        <f t="shared" si="9"/>
        <v>0.73999999999999988</v>
      </c>
      <c r="W52" s="362">
        <f t="shared" si="9"/>
        <v>0.71999999999999986</v>
      </c>
      <c r="X52" s="362">
        <f t="shared" si="9"/>
        <v>0.69999999999999984</v>
      </c>
      <c r="Y52" s="362">
        <f t="shared" si="9"/>
        <v>0.67999999999999983</v>
      </c>
      <c r="Z52" s="362">
        <f t="shared" si="9"/>
        <v>0.65999999999999981</v>
      </c>
      <c r="AA52" s="362">
        <f t="shared" si="9"/>
        <v>0.63999999999999979</v>
      </c>
      <c r="AB52" s="362">
        <f t="shared" si="9"/>
        <v>0.61999999999999977</v>
      </c>
      <c r="AC52" s="362">
        <f t="shared" si="9"/>
        <v>0.59999999999999976</v>
      </c>
      <c r="AD52" s="362">
        <f t="shared" si="9"/>
        <v>0.57999999999999974</v>
      </c>
      <c r="AE52" s="362">
        <f t="shared" si="9"/>
        <v>0.55999999999999972</v>
      </c>
      <c r="AF52" s="362">
        <f t="shared" si="9"/>
        <v>0.5399999999999997</v>
      </c>
      <c r="AG52" s="362">
        <f t="shared" si="9"/>
        <v>0.51999999999999968</v>
      </c>
      <c r="AH52" s="362">
        <f t="shared" si="9"/>
        <v>0.49999999999999967</v>
      </c>
      <c r="AI52" s="362">
        <f t="shared" si="9"/>
        <v>0.47999999999999965</v>
      </c>
      <c r="AJ52" s="362">
        <f t="shared" si="9"/>
        <v>0.45999999999999963</v>
      </c>
      <c r="AK52" s="362">
        <f t="shared" si="9"/>
        <v>0.43999999999999961</v>
      </c>
    </row>
    <row r="53" spans="1:46" x14ac:dyDescent="0.25">
      <c r="A53" s="60" t="s">
        <v>732</v>
      </c>
      <c r="B53">
        <v>47.3</v>
      </c>
      <c r="C53">
        <v>43.9</v>
      </c>
      <c r="D53">
        <v>37.6</v>
      </c>
      <c r="E53">
        <v>38.299999999999997</v>
      </c>
      <c r="F53">
        <v>39.1</v>
      </c>
      <c r="G53">
        <v>40</v>
      </c>
      <c r="H53">
        <v>40</v>
      </c>
      <c r="I53">
        <v>40</v>
      </c>
      <c r="J53">
        <v>40</v>
      </c>
      <c r="K53">
        <v>40.799999999999997</v>
      </c>
      <c r="L53">
        <v>40.799999999999997</v>
      </c>
      <c r="M53">
        <v>40.799999999999997</v>
      </c>
      <c r="N53" s="65">
        <v>40.799999999999997</v>
      </c>
      <c r="O53" s="362">
        <f t="shared" si="10"/>
        <v>40.959999999999994</v>
      </c>
      <c r="P53" s="362">
        <f t="shared" si="9"/>
        <v>41.11999999999999</v>
      </c>
      <c r="Q53" s="362">
        <f t="shared" si="9"/>
        <v>41.279999999999987</v>
      </c>
      <c r="R53" s="362">
        <f t="shared" si="9"/>
        <v>41.439999999999984</v>
      </c>
      <c r="S53" s="362">
        <f t="shared" si="9"/>
        <v>41.59999999999998</v>
      </c>
      <c r="T53" s="362">
        <f t="shared" si="9"/>
        <v>41.759999999999977</v>
      </c>
      <c r="U53" s="362">
        <f t="shared" si="9"/>
        <v>41.919999999999973</v>
      </c>
      <c r="V53" s="362">
        <f t="shared" si="9"/>
        <v>42.07999999999997</v>
      </c>
      <c r="W53" s="362">
        <f t="shared" si="9"/>
        <v>42.239999999999966</v>
      </c>
      <c r="X53" s="362">
        <f t="shared" si="9"/>
        <v>42.399999999999963</v>
      </c>
      <c r="Y53" s="362">
        <f t="shared" si="9"/>
        <v>42.55999999999996</v>
      </c>
      <c r="Z53" s="362">
        <f t="shared" si="9"/>
        <v>42.719999999999956</v>
      </c>
      <c r="AA53" s="362">
        <f t="shared" si="9"/>
        <v>42.879999999999953</v>
      </c>
      <c r="AB53" s="362">
        <f t="shared" si="9"/>
        <v>43.039999999999949</v>
      </c>
      <c r="AC53" s="362">
        <f t="shared" si="9"/>
        <v>43.199999999999946</v>
      </c>
      <c r="AD53" s="362">
        <f t="shared" si="9"/>
        <v>43.359999999999943</v>
      </c>
      <c r="AE53" s="362">
        <f t="shared" si="9"/>
        <v>43.519999999999939</v>
      </c>
      <c r="AF53" s="362">
        <f t="shared" si="9"/>
        <v>43.679999999999936</v>
      </c>
      <c r="AG53" s="362">
        <f t="shared" si="9"/>
        <v>43.839999999999932</v>
      </c>
      <c r="AH53" s="362">
        <f t="shared" si="9"/>
        <v>43.999999999999929</v>
      </c>
      <c r="AI53" s="362">
        <f t="shared" si="9"/>
        <v>44.159999999999926</v>
      </c>
      <c r="AJ53" s="362">
        <f t="shared" si="9"/>
        <v>44.319999999999922</v>
      </c>
      <c r="AK53" s="362">
        <f t="shared" si="9"/>
        <v>44.479999999999919</v>
      </c>
    </row>
    <row r="54" spans="1:46" x14ac:dyDescent="0.25">
      <c r="A54" s="60" t="s">
        <v>733</v>
      </c>
      <c r="B54">
        <v>2.6</v>
      </c>
      <c r="C54">
        <v>3.1</v>
      </c>
      <c r="D54">
        <v>2.4</v>
      </c>
      <c r="E54">
        <v>2.9</v>
      </c>
      <c r="F54">
        <v>2.8</v>
      </c>
      <c r="G54">
        <v>2.8</v>
      </c>
      <c r="H54">
        <v>2.8</v>
      </c>
      <c r="I54">
        <v>2.8</v>
      </c>
      <c r="J54">
        <v>2.9</v>
      </c>
      <c r="K54">
        <v>2.9</v>
      </c>
      <c r="L54">
        <v>2.9</v>
      </c>
      <c r="M54">
        <v>2.9</v>
      </c>
      <c r="N54" s="65">
        <v>2.9</v>
      </c>
      <c r="O54" s="362">
        <f t="shared" si="10"/>
        <v>2.92</v>
      </c>
      <c r="P54" s="362">
        <f t="shared" si="9"/>
        <v>2.94</v>
      </c>
      <c r="Q54" s="362">
        <f t="shared" si="9"/>
        <v>2.96</v>
      </c>
      <c r="R54" s="362">
        <f t="shared" si="9"/>
        <v>2.98</v>
      </c>
      <c r="S54" s="362">
        <f t="shared" si="9"/>
        <v>3</v>
      </c>
      <c r="T54" s="362">
        <f t="shared" si="9"/>
        <v>3.02</v>
      </c>
      <c r="U54" s="362">
        <f t="shared" si="9"/>
        <v>3.04</v>
      </c>
      <c r="V54" s="362">
        <f t="shared" si="9"/>
        <v>3.06</v>
      </c>
      <c r="W54" s="362">
        <f t="shared" si="9"/>
        <v>3.08</v>
      </c>
      <c r="X54" s="362">
        <f t="shared" si="9"/>
        <v>3.1</v>
      </c>
      <c r="Y54" s="362">
        <f t="shared" si="9"/>
        <v>3.12</v>
      </c>
      <c r="Z54" s="362">
        <f t="shared" si="9"/>
        <v>3.14</v>
      </c>
      <c r="AA54" s="362">
        <f t="shared" si="9"/>
        <v>3.16</v>
      </c>
      <c r="AB54" s="362">
        <f t="shared" si="9"/>
        <v>3.18</v>
      </c>
      <c r="AC54" s="362">
        <f t="shared" si="9"/>
        <v>3.2</v>
      </c>
      <c r="AD54" s="362">
        <f t="shared" si="9"/>
        <v>3.22</v>
      </c>
      <c r="AE54" s="362">
        <f t="shared" si="9"/>
        <v>3.24</v>
      </c>
      <c r="AF54" s="362">
        <f t="shared" si="9"/>
        <v>3.2600000000000002</v>
      </c>
      <c r="AG54" s="362">
        <f t="shared" si="9"/>
        <v>3.2800000000000002</v>
      </c>
      <c r="AH54" s="362">
        <f t="shared" si="9"/>
        <v>3.3000000000000003</v>
      </c>
      <c r="AI54" s="362">
        <f t="shared" si="9"/>
        <v>3.3200000000000003</v>
      </c>
      <c r="AJ54" s="362">
        <f t="shared" si="9"/>
        <v>3.3400000000000003</v>
      </c>
      <c r="AK54" s="362">
        <f t="shared" si="9"/>
        <v>3.3600000000000003</v>
      </c>
    </row>
    <row r="55" spans="1:46" x14ac:dyDescent="0.25">
      <c r="A55" s="60" t="s">
        <v>734</v>
      </c>
      <c r="B55">
        <v>7.9</v>
      </c>
      <c r="C55">
        <v>9.3000000000000007</v>
      </c>
      <c r="D55">
        <v>11.1</v>
      </c>
      <c r="E55">
        <v>9.8000000000000007</v>
      </c>
      <c r="F55">
        <v>9.1999999999999993</v>
      </c>
      <c r="G55">
        <v>9.4</v>
      </c>
      <c r="H55">
        <v>9.5</v>
      </c>
      <c r="I55">
        <v>9.5</v>
      </c>
      <c r="J55">
        <v>9.6</v>
      </c>
      <c r="K55">
        <v>9.6999999999999993</v>
      </c>
      <c r="L55">
        <v>9.8000000000000007</v>
      </c>
      <c r="M55">
        <v>9.9</v>
      </c>
      <c r="N55" s="65">
        <v>10</v>
      </c>
      <c r="O55" s="362">
        <f t="shared" si="10"/>
        <v>10.1</v>
      </c>
      <c r="P55" s="362">
        <f t="shared" si="9"/>
        <v>10.18</v>
      </c>
      <c r="Q55" s="362">
        <f t="shared" si="9"/>
        <v>10.26</v>
      </c>
      <c r="R55" s="362">
        <f t="shared" si="9"/>
        <v>10.34</v>
      </c>
      <c r="S55" s="362">
        <f t="shared" si="9"/>
        <v>10.42</v>
      </c>
      <c r="T55" s="362">
        <f t="shared" si="9"/>
        <v>10.5</v>
      </c>
      <c r="U55" s="362">
        <f t="shared" si="9"/>
        <v>10.58</v>
      </c>
      <c r="V55" s="362">
        <f t="shared" si="9"/>
        <v>10.66</v>
      </c>
      <c r="W55" s="362">
        <f t="shared" si="9"/>
        <v>10.74</v>
      </c>
      <c r="X55" s="362">
        <f t="shared" si="9"/>
        <v>10.82</v>
      </c>
      <c r="Y55" s="362">
        <f t="shared" si="9"/>
        <v>10.9</v>
      </c>
      <c r="Z55" s="362">
        <f t="shared" si="9"/>
        <v>10.98</v>
      </c>
      <c r="AA55" s="362">
        <f t="shared" si="9"/>
        <v>11.06</v>
      </c>
      <c r="AB55" s="362">
        <f t="shared" si="9"/>
        <v>11.14</v>
      </c>
      <c r="AC55" s="362">
        <f t="shared" si="9"/>
        <v>11.22</v>
      </c>
      <c r="AD55" s="362">
        <f t="shared" si="9"/>
        <v>11.3</v>
      </c>
      <c r="AE55" s="362">
        <f t="shared" si="9"/>
        <v>11.38</v>
      </c>
      <c r="AF55" s="362">
        <f t="shared" si="9"/>
        <v>11.46</v>
      </c>
      <c r="AG55" s="362">
        <f t="shared" si="9"/>
        <v>11.540000000000001</v>
      </c>
      <c r="AH55" s="362">
        <f t="shared" si="9"/>
        <v>11.620000000000001</v>
      </c>
      <c r="AI55" s="362">
        <f t="shared" si="9"/>
        <v>11.700000000000001</v>
      </c>
      <c r="AJ55" s="362">
        <f t="shared" si="9"/>
        <v>11.780000000000001</v>
      </c>
      <c r="AK55" s="362">
        <f t="shared" si="9"/>
        <v>11.860000000000001</v>
      </c>
    </row>
    <row r="56" spans="1:46" x14ac:dyDescent="0.25">
      <c r="A56" s="60" t="s">
        <v>735</v>
      </c>
      <c r="B56">
        <v>81.7</v>
      </c>
      <c r="C56">
        <v>82.7</v>
      </c>
      <c r="D56">
        <v>89.5</v>
      </c>
      <c r="E56">
        <v>90.1</v>
      </c>
      <c r="F56">
        <v>90.1</v>
      </c>
      <c r="G56">
        <v>90.5</v>
      </c>
      <c r="H56">
        <v>91</v>
      </c>
      <c r="I56">
        <v>91</v>
      </c>
      <c r="J56">
        <v>91</v>
      </c>
      <c r="K56">
        <v>90.5</v>
      </c>
      <c r="L56">
        <v>90.5</v>
      </c>
      <c r="M56">
        <v>90.5</v>
      </c>
      <c r="N56" s="65">
        <v>90.5</v>
      </c>
      <c r="O56" s="362">
        <f t="shared" si="10"/>
        <v>90.4</v>
      </c>
      <c r="P56" s="362">
        <f t="shared" si="9"/>
        <v>90.300000000000011</v>
      </c>
      <c r="Q56" s="362">
        <f t="shared" si="9"/>
        <v>90.200000000000017</v>
      </c>
      <c r="R56" s="362">
        <f t="shared" si="9"/>
        <v>90.100000000000023</v>
      </c>
      <c r="S56" s="362">
        <f t="shared" si="9"/>
        <v>90.000000000000028</v>
      </c>
      <c r="T56" s="362">
        <f t="shared" si="9"/>
        <v>89.900000000000034</v>
      </c>
      <c r="U56" s="362">
        <f t="shared" si="9"/>
        <v>89.80000000000004</v>
      </c>
      <c r="V56" s="362">
        <f t="shared" si="9"/>
        <v>89.700000000000045</v>
      </c>
      <c r="W56" s="362">
        <f t="shared" si="9"/>
        <v>89.600000000000051</v>
      </c>
      <c r="X56" s="362">
        <f t="shared" si="9"/>
        <v>89.500000000000057</v>
      </c>
      <c r="Y56" s="362">
        <f t="shared" si="9"/>
        <v>89.400000000000063</v>
      </c>
      <c r="Z56" s="362">
        <f t="shared" si="9"/>
        <v>89.300000000000068</v>
      </c>
      <c r="AA56" s="362">
        <f t="shared" si="9"/>
        <v>89.200000000000074</v>
      </c>
      <c r="AB56" s="362">
        <f t="shared" si="9"/>
        <v>89.10000000000008</v>
      </c>
      <c r="AC56" s="362">
        <f t="shared" si="9"/>
        <v>89.000000000000085</v>
      </c>
      <c r="AD56" s="362">
        <f t="shared" si="9"/>
        <v>88.900000000000091</v>
      </c>
      <c r="AE56" s="362">
        <f t="shared" si="9"/>
        <v>88.800000000000097</v>
      </c>
      <c r="AF56" s="362">
        <f t="shared" si="9"/>
        <v>88.700000000000102</v>
      </c>
      <c r="AG56" s="362">
        <f t="shared" si="9"/>
        <v>88.600000000000108</v>
      </c>
      <c r="AH56" s="362">
        <f t="shared" si="9"/>
        <v>88.500000000000114</v>
      </c>
      <c r="AI56" s="362">
        <f t="shared" si="9"/>
        <v>88.400000000000119</v>
      </c>
      <c r="AJ56" s="362">
        <f t="shared" si="9"/>
        <v>88.300000000000125</v>
      </c>
      <c r="AK56" s="362">
        <f t="shared" si="9"/>
        <v>88.200000000000131</v>
      </c>
    </row>
    <row r="57" spans="1:46" x14ac:dyDescent="0.25">
      <c r="A57" s="60" t="s">
        <v>736</v>
      </c>
      <c r="B57">
        <v>1.145</v>
      </c>
      <c r="C57">
        <v>1.1259999999999999</v>
      </c>
      <c r="D57">
        <v>1.113</v>
      </c>
      <c r="E57">
        <v>1.1619999999999999</v>
      </c>
      <c r="F57">
        <v>1.196</v>
      </c>
      <c r="G57">
        <v>1.1659999999999999</v>
      </c>
      <c r="H57">
        <v>1.149</v>
      </c>
      <c r="I57">
        <v>1.133</v>
      </c>
      <c r="J57">
        <v>1.1180000000000001</v>
      </c>
      <c r="K57">
        <v>1.1060000000000001</v>
      </c>
      <c r="L57">
        <v>1.093</v>
      </c>
      <c r="M57">
        <v>1.079</v>
      </c>
      <c r="N57" s="65">
        <v>1.069</v>
      </c>
      <c r="O57" s="362">
        <f t="shared" si="10"/>
        <v>1.0562</v>
      </c>
      <c r="P57" s="362">
        <f t="shared" si="9"/>
        <v>1.0422</v>
      </c>
      <c r="Q57" s="362">
        <f t="shared" si="9"/>
        <v>1.0282</v>
      </c>
      <c r="R57" s="362">
        <f t="shared" si="9"/>
        <v>1.0142</v>
      </c>
      <c r="S57" s="362">
        <f t="shared" si="9"/>
        <v>1.0002</v>
      </c>
      <c r="T57" s="362">
        <f t="shared" si="9"/>
        <v>0.98619999999999997</v>
      </c>
      <c r="U57" s="362">
        <f t="shared" si="9"/>
        <v>0.97219999999999995</v>
      </c>
      <c r="V57" s="362">
        <f t="shared" si="9"/>
        <v>0.95819999999999994</v>
      </c>
      <c r="W57" s="362">
        <f t="shared" si="9"/>
        <v>0.94419999999999993</v>
      </c>
      <c r="X57" s="362">
        <f t="shared" si="9"/>
        <v>0.93019999999999992</v>
      </c>
      <c r="Y57" s="362">
        <f t="shared" si="9"/>
        <v>0.9161999999999999</v>
      </c>
      <c r="Z57" s="362">
        <f t="shared" si="9"/>
        <v>0.90219999999999989</v>
      </c>
      <c r="AA57" s="362">
        <f t="shared" si="9"/>
        <v>0.88819999999999988</v>
      </c>
      <c r="AB57" s="362">
        <f t="shared" si="9"/>
        <v>0.87419999999999987</v>
      </c>
      <c r="AC57" s="362">
        <f t="shared" si="9"/>
        <v>0.86019999999999985</v>
      </c>
      <c r="AD57" s="362">
        <f t="shared" si="9"/>
        <v>0.84619999999999984</v>
      </c>
      <c r="AE57" s="362">
        <f t="shared" si="9"/>
        <v>0.83219999999999983</v>
      </c>
      <c r="AF57" s="362">
        <f t="shared" si="9"/>
        <v>0.81819999999999982</v>
      </c>
      <c r="AG57" s="362">
        <f t="shared" si="9"/>
        <v>0.8041999999999998</v>
      </c>
      <c r="AH57" s="362">
        <f t="shared" si="9"/>
        <v>0.79019999999999979</v>
      </c>
      <c r="AI57" s="362">
        <f t="shared" si="9"/>
        <v>0.77619999999999978</v>
      </c>
      <c r="AJ57" s="362">
        <f t="shared" si="9"/>
        <v>0.76219999999999977</v>
      </c>
      <c r="AK57" s="362">
        <f t="shared" si="9"/>
        <v>0.74819999999999975</v>
      </c>
    </row>
    <row r="58" spans="1:46" x14ac:dyDescent="0.25">
      <c r="A58" s="60" t="s">
        <v>737</v>
      </c>
      <c r="B58">
        <v>0.84399999999999997</v>
      </c>
      <c r="C58">
        <f>853/(10^3)</f>
        <v>0.85299999999999998</v>
      </c>
      <c r="D58">
        <f>845/(10^3)</f>
        <v>0.84499999999999997</v>
      </c>
      <c r="E58">
        <f>862/(10^3)</f>
        <v>0.86199999999999999</v>
      </c>
      <c r="F58">
        <f>872/(10^3)</f>
        <v>0.872</v>
      </c>
      <c r="G58">
        <f>882/(10^3)</f>
        <v>0.88200000000000001</v>
      </c>
      <c r="H58">
        <f>889/(10^3)</f>
        <v>0.88900000000000001</v>
      </c>
      <c r="I58">
        <f>896/(10^3)</f>
        <v>0.89600000000000002</v>
      </c>
      <c r="J58">
        <f>900/(10^3)</f>
        <v>0.9</v>
      </c>
      <c r="K58">
        <f>903/(10^3)</f>
        <v>0.90300000000000002</v>
      </c>
      <c r="L58">
        <f>908/(10^3)</f>
        <v>0.90800000000000003</v>
      </c>
      <c r="M58">
        <f>912/(10^3)</f>
        <v>0.91200000000000003</v>
      </c>
      <c r="N58">
        <f>916/(10^3)</f>
        <v>0.91600000000000004</v>
      </c>
      <c r="O58" s="362">
        <f t="shared" si="10"/>
        <v>0.92</v>
      </c>
      <c r="P58" s="362">
        <f t="shared" si="9"/>
        <v>0.92460000000000009</v>
      </c>
      <c r="Q58" s="362">
        <f t="shared" si="9"/>
        <v>0.92920000000000014</v>
      </c>
      <c r="R58" s="362">
        <f t="shared" si="9"/>
        <v>0.93380000000000019</v>
      </c>
      <c r="S58" s="362">
        <f t="shared" si="9"/>
        <v>0.93840000000000023</v>
      </c>
      <c r="T58" s="362">
        <f t="shared" si="9"/>
        <v>0.94300000000000028</v>
      </c>
      <c r="U58" s="362">
        <f t="shared" si="9"/>
        <v>0.94760000000000033</v>
      </c>
      <c r="V58" s="362">
        <f t="shared" si="9"/>
        <v>0.95220000000000038</v>
      </c>
      <c r="W58" s="362">
        <f t="shared" si="9"/>
        <v>0.95680000000000043</v>
      </c>
      <c r="X58" s="362">
        <f t="shared" si="9"/>
        <v>0.96140000000000048</v>
      </c>
      <c r="Y58" s="362">
        <f t="shared" si="9"/>
        <v>0.96600000000000052</v>
      </c>
      <c r="Z58" s="362">
        <f t="shared" si="9"/>
        <v>0.97060000000000057</v>
      </c>
      <c r="AA58" s="362">
        <f t="shared" si="9"/>
        <v>0.97520000000000062</v>
      </c>
      <c r="AB58" s="362">
        <f t="shared" si="9"/>
        <v>0.97980000000000067</v>
      </c>
      <c r="AC58" s="362">
        <f t="shared" si="9"/>
        <v>0.98440000000000072</v>
      </c>
      <c r="AD58" s="362">
        <f t="shared" si="9"/>
        <v>0.98900000000000077</v>
      </c>
      <c r="AE58" s="362">
        <f t="shared" si="9"/>
        <v>0.99360000000000082</v>
      </c>
      <c r="AF58" s="362">
        <f t="shared" si="9"/>
        <v>0.99820000000000086</v>
      </c>
      <c r="AG58" s="362">
        <f t="shared" si="9"/>
        <v>1.0028000000000008</v>
      </c>
      <c r="AH58" s="362">
        <f t="shared" si="9"/>
        <v>1.0074000000000007</v>
      </c>
      <c r="AI58" s="362">
        <f t="shared" si="9"/>
        <v>1.0120000000000007</v>
      </c>
      <c r="AJ58" s="362">
        <f t="shared" si="9"/>
        <v>1.0166000000000006</v>
      </c>
      <c r="AK58" s="362">
        <f t="shared" si="9"/>
        <v>1.0212000000000006</v>
      </c>
    </row>
    <row r="60" spans="1:46" x14ac:dyDescent="0.25">
      <c r="A60" s="93" t="s">
        <v>739</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row>
    <row r="61" spans="1:46" x14ac:dyDescent="0.25">
      <c r="A61" s="60" t="s">
        <v>728</v>
      </c>
      <c r="B61">
        <v>0.87</v>
      </c>
    </row>
    <row r="62" spans="1:46" x14ac:dyDescent="0.25">
      <c r="A62" s="60" t="s">
        <v>729</v>
      </c>
      <c r="B62">
        <v>0.89</v>
      </c>
    </row>
    <row r="63" spans="1:46" x14ac:dyDescent="0.25">
      <c r="A63" s="60" t="s">
        <v>730</v>
      </c>
      <c r="B63">
        <v>0.89</v>
      </c>
    </row>
    <row r="64" spans="1:46" x14ac:dyDescent="0.25">
      <c r="A64" s="60" t="s">
        <v>731</v>
      </c>
      <c r="B64">
        <v>0.89</v>
      </c>
    </row>
    <row r="65" spans="1:46" x14ac:dyDescent="0.25">
      <c r="A65" s="60" t="s">
        <v>732</v>
      </c>
      <c r="B65">
        <v>0.89</v>
      </c>
    </row>
    <row r="66" spans="1:46" x14ac:dyDescent="0.25">
      <c r="A66" s="60" t="s">
        <v>733</v>
      </c>
      <c r="B66">
        <v>0.89</v>
      </c>
    </row>
    <row r="67" spans="1:46" x14ac:dyDescent="0.25">
      <c r="A67" s="60" t="s">
        <v>734</v>
      </c>
      <c r="B67">
        <v>0.89</v>
      </c>
      <c r="C67" t="s">
        <v>742</v>
      </c>
    </row>
    <row r="68" spans="1:46" x14ac:dyDescent="0.25">
      <c r="A68" s="60" t="s">
        <v>735</v>
      </c>
      <c r="B68">
        <v>0.91</v>
      </c>
    </row>
    <row r="69" spans="1:46" x14ac:dyDescent="0.25">
      <c r="A69" s="60" t="s">
        <v>736</v>
      </c>
      <c r="B69">
        <v>0.94</v>
      </c>
    </row>
    <row r="70" spans="1:46" x14ac:dyDescent="0.25">
      <c r="A70" s="60" t="s">
        <v>737</v>
      </c>
      <c r="B70">
        <v>0.9</v>
      </c>
    </row>
    <row r="72" spans="1:46" x14ac:dyDescent="0.25">
      <c r="A72" s="93" t="s">
        <v>743</v>
      </c>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row>
    <row r="73" spans="1:46" x14ac:dyDescent="0.25">
      <c r="A73" s="60" t="s">
        <v>728</v>
      </c>
      <c r="B73">
        <v>6.0000000000000001E-3</v>
      </c>
    </row>
    <row r="74" spans="1:46" x14ac:dyDescent="0.25">
      <c r="A74" s="60" t="s">
        <v>729</v>
      </c>
      <c r="B74">
        <v>7.0000000000000001E-3</v>
      </c>
    </row>
    <row r="75" spans="1:46" x14ac:dyDescent="0.25">
      <c r="A75" s="60" t="s">
        <v>730</v>
      </c>
      <c r="B75">
        <v>7.0000000000000001E-3</v>
      </c>
    </row>
    <row r="76" spans="1:46" x14ac:dyDescent="0.25">
      <c r="A76" s="60" t="s">
        <v>731</v>
      </c>
      <c r="B76">
        <v>7.0000000000000001E-3</v>
      </c>
    </row>
    <row r="77" spans="1:46" x14ac:dyDescent="0.25">
      <c r="A77" s="60" t="s">
        <v>732</v>
      </c>
      <c r="B77">
        <v>6.0000000000000001E-3</v>
      </c>
    </row>
    <row r="78" spans="1:46" x14ac:dyDescent="0.25">
      <c r="A78" s="60" t="s">
        <v>733</v>
      </c>
      <c r="B78">
        <v>7.0000000000000001E-3</v>
      </c>
    </row>
    <row r="79" spans="1:46" x14ac:dyDescent="0.25">
      <c r="A79" s="60" t="s">
        <v>734</v>
      </c>
      <c r="B79">
        <v>7.0000000000000001E-3</v>
      </c>
      <c r="C79" t="s">
        <v>744</v>
      </c>
    </row>
    <row r="80" spans="1:46" x14ac:dyDescent="0.25">
      <c r="A80" s="60" t="s">
        <v>735</v>
      </c>
      <c r="B80">
        <v>8.0000000000000002E-3</v>
      </c>
    </row>
    <row r="81" spans="1:46" x14ac:dyDescent="0.25">
      <c r="A81" s="60" t="s">
        <v>736</v>
      </c>
      <c r="B81">
        <v>1.6E-2</v>
      </c>
    </row>
    <row r="82" spans="1:46" x14ac:dyDescent="0.25">
      <c r="A82" s="60" t="s">
        <v>737</v>
      </c>
      <c r="B82">
        <v>1.4999999999999999E-2</v>
      </c>
    </row>
    <row r="84" spans="1:46" x14ac:dyDescent="0.25">
      <c r="A84" s="93" t="s">
        <v>745</v>
      </c>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row>
    <row r="85" spans="1:46" x14ac:dyDescent="0.25">
      <c r="A85" s="60" t="s">
        <v>728</v>
      </c>
      <c r="B85">
        <v>0.22</v>
      </c>
    </row>
    <row r="86" spans="1:46" x14ac:dyDescent="0.25">
      <c r="A86" s="60" t="s">
        <v>729</v>
      </c>
      <c r="B86">
        <v>0</v>
      </c>
    </row>
    <row r="87" spans="1:46" x14ac:dyDescent="0.25">
      <c r="A87" s="60" t="s">
        <v>730</v>
      </c>
      <c r="B87">
        <v>0.22</v>
      </c>
    </row>
    <row r="88" spans="1:46" x14ac:dyDescent="0.25">
      <c r="A88" s="60" t="s">
        <v>731</v>
      </c>
      <c r="B88">
        <v>0.25</v>
      </c>
    </row>
    <row r="89" spans="1:46" x14ac:dyDescent="0.25">
      <c r="A89" s="60" t="s">
        <v>732</v>
      </c>
      <c r="B89">
        <v>0.24</v>
      </c>
    </row>
    <row r="90" spans="1:46" x14ac:dyDescent="0.25">
      <c r="A90" s="60" t="s">
        <v>733</v>
      </c>
      <c r="B90">
        <v>0.16</v>
      </c>
    </row>
    <row r="91" spans="1:46" x14ac:dyDescent="0.25">
      <c r="A91" s="60" t="s">
        <v>734</v>
      </c>
      <c r="B91">
        <v>0.2</v>
      </c>
      <c r="C91" t="s">
        <v>746</v>
      </c>
    </row>
    <row r="92" spans="1:46" x14ac:dyDescent="0.25">
      <c r="A92" s="60" t="s">
        <v>735</v>
      </c>
      <c r="B92">
        <v>0.19</v>
      </c>
    </row>
    <row r="93" spans="1:46" x14ac:dyDescent="0.25">
      <c r="A93" s="60" t="s">
        <v>736</v>
      </c>
      <c r="B93">
        <v>0.2</v>
      </c>
    </row>
    <row r="94" spans="1:46" x14ac:dyDescent="0.25">
      <c r="A94" s="60" t="s">
        <v>737</v>
      </c>
      <c r="B94">
        <v>0.8</v>
      </c>
    </row>
    <row r="96" spans="1:46" x14ac:dyDescent="0.25">
      <c r="A96" s="93" t="s">
        <v>747</v>
      </c>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row>
    <row r="97" spans="1:46" x14ac:dyDescent="0.25">
      <c r="A97" s="60" t="s">
        <v>728</v>
      </c>
      <c r="B97">
        <v>7.0000000000000001E-3</v>
      </c>
    </row>
    <row r="98" spans="1:46" x14ac:dyDescent="0.25">
      <c r="A98" s="60" t="s">
        <v>729</v>
      </c>
      <c r="B98">
        <v>6.0000000000000001E-3</v>
      </c>
    </row>
    <row r="99" spans="1:46" x14ac:dyDescent="0.25">
      <c r="A99" s="60" t="s">
        <v>730</v>
      </c>
      <c r="B99">
        <v>1.4E-2</v>
      </c>
    </row>
    <row r="100" spans="1:46" x14ac:dyDescent="0.25">
      <c r="A100" s="60" t="s">
        <v>731</v>
      </c>
      <c r="B100">
        <v>8.0000000000000002E-3</v>
      </c>
    </row>
    <row r="101" spans="1:46" x14ac:dyDescent="0.25">
      <c r="A101" s="60" t="s">
        <v>732</v>
      </c>
      <c r="B101">
        <v>8.9999999999999993E-3</v>
      </c>
    </row>
    <row r="102" spans="1:46" x14ac:dyDescent="0.25">
      <c r="A102" s="60" t="s">
        <v>733</v>
      </c>
      <c r="B102">
        <v>0</v>
      </c>
    </row>
    <row r="103" spans="1:46" x14ac:dyDescent="0.25">
      <c r="A103" s="60" t="s">
        <v>734</v>
      </c>
      <c r="B103">
        <v>0.01</v>
      </c>
      <c r="C103" t="s">
        <v>748</v>
      </c>
    </row>
    <row r="104" spans="1:46" x14ac:dyDescent="0.25">
      <c r="A104" s="60" t="s">
        <v>735</v>
      </c>
      <c r="B104">
        <v>8.0000000000000002E-3</v>
      </c>
    </row>
    <row r="105" spans="1:46" x14ac:dyDescent="0.25">
      <c r="A105" s="60" t="s">
        <v>736</v>
      </c>
      <c r="B105">
        <v>1.4E-2</v>
      </c>
    </row>
    <row r="106" spans="1:46" x14ac:dyDescent="0.25">
      <c r="A106" s="60" t="s">
        <v>737</v>
      </c>
      <c r="B106">
        <v>1.2E-2</v>
      </c>
    </row>
    <row r="108" spans="1:46" x14ac:dyDescent="0.25">
      <c r="A108" s="93" t="s">
        <v>749</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row>
    <row r="109" spans="1:46" x14ac:dyDescent="0.25">
      <c r="A109" s="60" t="s">
        <v>738</v>
      </c>
      <c r="B109">
        <v>2015</v>
      </c>
      <c r="C109">
        <v>2016</v>
      </c>
      <c r="D109">
        <v>2017</v>
      </c>
      <c r="E109">
        <v>2018</v>
      </c>
      <c r="F109">
        <v>2019</v>
      </c>
      <c r="G109">
        <v>2020</v>
      </c>
      <c r="H109">
        <v>2021</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46" x14ac:dyDescent="0.25">
      <c r="A110" s="60" t="s">
        <v>728</v>
      </c>
      <c r="B110" s="101">
        <f t="shared" ref="B110:AK110" si="12">B49*($B61*$B73+$B85*$B97)</f>
        <v>0.54553200000000002</v>
      </c>
      <c r="C110" s="101">
        <f t="shared" si="12"/>
        <v>0.58609200000000006</v>
      </c>
      <c r="D110" s="101">
        <f t="shared" si="12"/>
        <v>0.56175600000000003</v>
      </c>
      <c r="E110" s="101">
        <f t="shared" si="12"/>
        <v>0.56581200000000009</v>
      </c>
      <c r="F110" s="101">
        <f t="shared" si="12"/>
        <v>0.5590520000000001</v>
      </c>
      <c r="G110" s="101">
        <f t="shared" si="12"/>
        <v>0.5590520000000001</v>
      </c>
      <c r="H110" s="101">
        <f t="shared" si="12"/>
        <v>0.55567200000000005</v>
      </c>
      <c r="I110" s="101">
        <f t="shared" si="12"/>
        <v>0.55567200000000005</v>
      </c>
      <c r="J110" s="101">
        <f t="shared" si="12"/>
        <v>0.54891200000000007</v>
      </c>
      <c r="K110" s="101">
        <f t="shared" si="12"/>
        <v>0.54891200000000007</v>
      </c>
      <c r="L110" s="101">
        <f t="shared" si="12"/>
        <v>0.54553200000000002</v>
      </c>
      <c r="M110" s="101">
        <f t="shared" si="12"/>
        <v>0.54215200000000008</v>
      </c>
      <c r="N110" s="101">
        <f t="shared" si="12"/>
        <v>0.54215200000000008</v>
      </c>
      <c r="O110" s="101">
        <f t="shared" si="12"/>
        <v>0.53944800000000004</v>
      </c>
      <c r="P110" s="101">
        <f t="shared" si="12"/>
        <v>0.536744</v>
      </c>
      <c r="Q110" s="101">
        <f t="shared" si="12"/>
        <v>0.53403999999999996</v>
      </c>
      <c r="R110" s="101">
        <f t="shared" si="12"/>
        <v>0.53133599999999992</v>
      </c>
      <c r="S110" s="101">
        <f t="shared" si="12"/>
        <v>0.52863199999999988</v>
      </c>
      <c r="T110" s="101">
        <f t="shared" si="12"/>
        <v>0.52592799999999984</v>
      </c>
      <c r="U110" s="101">
        <f t="shared" si="12"/>
        <v>0.5232239999999998</v>
      </c>
      <c r="V110" s="101">
        <f t="shared" si="12"/>
        <v>0.52051999999999976</v>
      </c>
      <c r="W110" s="101">
        <f t="shared" si="12"/>
        <v>0.51781599999999972</v>
      </c>
      <c r="X110" s="101">
        <f t="shared" si="12"/>
        <v>0.51511199999999968</v>
      </c>
      <c r="Y110" s="101">
        <f t="shared" si="12"/>
        <v>0.51240799999999964</v>
      </c>
      <c r="Z110" s="101">
        <f t="shared" si="12"/>
        <v>0.5097039999999996</v>
      </c>
      <c r="AA110" s="101">
        <f t="shared" si="12"/>
        <v>0.50699999999999956</v>
      </c>
      <c r="AB110" s="101">
        <f t="shared" si="12"/>
        <v>0.50429599999999952</v>
      </c>
      <c r="AC110" s="101">
        <f t="shared" si="12"/>
        <v>0.50159199999999948</v>
      </c>
      <c r="AD110" s="101">
        <f t="shared" si="12"/>
        <v>0.49888799999999944</v>
      </c>
      <c r="AE110" s="101">
        <f t="shared" si="12"/>
        <v>0.4961839999999994</v>
      </c>
      <c r="AF110" s="101">
        <f t="shared" si="12"/>
        <v>0.49347999999999936</v>
      </c>
      <c r="AG110" s="101">
        <f t="shared" si="12"/>
        <v>0.49077599999999932</v>
      </c>
      <c r="AH110" s="101">
        <f t="shared" si="12"/>
        <v>0.48807199999999928</v>
      </c>
      <c r="AI110" s="101">
        <f t="shared" si="12"/>
        <v>0.48536799999999924</v>
      </c>
      <c r="AJ110" s="101">
        <f t="shared" si="12"/>
        <v>0.4826639999999992</v>
      </c>
      <c r="AK110" s="101">
        <f t="shared" si="12"/>
        <v>0.47995999999999917</v>
      </c>
    </row>
    <row r="111" spans="1:46" x14ac:dyDescent="0.25">
      <c r="A111" s="60" t="s">
        <v>729</v>
      </c>
      <c r="B111" s="101">
        <f t="shared" ref="B111:B119" si="13">B50*($B62*$B74+$B86*$B98)</f>
        <v>4.9217000000000004E-2</v>
      </c>
      <c r="C111" s="101">
        <f t="shared" ref="C111:AK111" si="14">C50*($B62*$B74+$B86*$B98)</f>
        <v>3.8626000000000001E-2</v>
      </c>
      <c r="D111" s="101">
        <f t="shared" si="14"/>
        <v>3.1150000000000001E-2</v>
      </c>
      <c r="E111" s="101">
        <f t="shared" si="14"/>
        <v>3.5511000000000001E-2</v>
      </c>
      <c r="F111" s="101">
        <f t="shared" si="14"/>
        <v>3.5511000000000001E-2</v>
      </c>
      <c r="G111" s="101">
        <f t="shared" si="14"/>
        <v>3.5511000000000001E-2</v>
      </c>
      <c r="H111" s="101">
        <f t="shared" si="14"/>
        <v>3.5511000000000001E-2</v>
      </c>
      <c r="I111" s="101">
        <f t="shared" si="14"/>
        <v>3.5511000000000001E-2</v>
      </c>
      <c r="J111" s="101">
        <f t="shared" si="14"/>
        <v>3.5511000000000001E-2</v>
      </c>
      <c r="K111" s="101">
        <f t="shared" si="14"/>
        <v>3.5511000000000001E-2</v>
      </c>
      <c r="L111" s="101">
        <f t="shared" si="14"/>
        <v>3.5511000000000001E-2</v>
      </c>
      <c r="M111" s="101">
        <f t="shared" si="14"/>
        <v>3.5511000000000001E-2</v>
      </c>
      <c r="N111" s="101">
        <f t="shared" si="14"/>
        <v>3.5511000000000001E-2</v>
      </c>
      <c r="O111" s="101">
        <f t="shared" si="14"/>
        <v>3.5511000000000001E-2</v>
      </c>
      <c r="P111" s="101">
        <f t="shared" si="14"/>
        <v>3.5511000000000001E-2</v>
      </c>
      <c r="Q111" s="101">
        <f t="shared" si="14"/>
        <v>3.5511000000000001E-2</v>
      </c>
      <c r="R111" s="101">
        <f t="shared" si="14"/>
        <v>3.5511000000000001E-2</v>
      </c>
      <c r="S111" s="101">
        <f t="shared" si="14"/>
        <v>3.5511000000000001E-2</v>
      </c>
      <c r="T111" s="101">
        <f t="shared" si="14"/>
        <v>3.5511000000000001E-2</v>
      </c>
      <c r="U111" s="101">
        <f t="shared" si="14"/>
        <v>3.5511000000000001E-2</v>
      </c>
      <c r="V111" s="101">
        <f t="shared" si="14"/>
        <v>3.5511000000000001E-2</v>
      </c>
      <c r="W111" s="101">
        <f t="shared" si="14"/>
        <v>3.5511000000000001E-2</v>
      </c>
      <c r="X111" s="101">
        <f t="shared" si="14"/>
        <v>3.5511000000000001E-2</v>
      </c>
      <c r="Y111" s="101">
        <f t="shared" si="14"/>
        <v>3.5511000000000001E-2</v>
      </c>
      <c r="Z111" s="101">
        <f t="shared" si="14"/>
        <v>3.5511000000000001E-2</v>
      </c>
      <c r="AA111" s="101">
        <f t="shared" si="14"/>
        <v>3.5511000000000001E-2</v>
      </c>
      <c r="AB111" s="101">
        <f t="shared" si="14"/>
        <v>3.5511000000000001E-2</v>
      </c>
      <c r="AC111" s="101">
        <f t="shared" si="14"/>
        <v>3.5511000000000001E-2</v>
      </c>
      <c r="AD111" s="101">
        <f t="shared" si="14"/>
        <v>3.5511000000000001E-2</v>
      </c>
      <c r="AE111" s="101">
        <f t="shared" si="14"/>
        <v>3.5511000000000001E-2</v>
      </c>
      <c r="AF111" s="101">
        <f t="shared" si="14"/>
        <v>3.5511000000000001E-2</v>
      </c>
      <c r="AG111" s="101">
        <f t="shared" si="14"/>
        <v>3.5511000000000001E-2</v>
      </c>
      <c r="AH111" s="101">
        <f t="shared" si="14"/>
        <v>3.5511000000000001E-2</v>
      </c>
      <c r="AI111" s="101">
        <f t="shared" si="14"/>
        <v>3.5511000000000001E-2</v>
      </c>
      <c r="AJ111" s="101">
        <f t="shared" si="14"/>
        <v>3.5511000000000001E-2</v>
      </c>
      <c r="AK111" s="101">
        <f t="shared" si="14"/>
        <v>3.5511000000000001E-2</v>
      </c>
    </row>
    <row r="112" spans="1:46" x14ac:dyDescent="0.25">
      <c r="A112" s="60" t="s">
        <v>730</v>
      </c>
      <c r="B112" s="101">
        <f t="shared" si="13"/>
        <v>2.9792000000000003E-2</v>
      </c>
      <c r="C112" s="101">
        <f t="shared" ref="C112:AK112" si="15">C51*($B63*$B75+$B87*$B99)</f>
        <v>2.4206000000000002E-2</v>
      </c>
      <c r="D112" s="101">
        <f t="shared" si="15"/>
        <v>1.8620000000000001E-2</v>
      </c>
      <c r="E112" s="101">
        <f t="shared" si="15"/>
        <v>2.4206000000000002E-2</v>
      </c>
      <c r="F112" s="101">
        <f t="shared" si="15"/>
        <v>2.4206000000000002E-2</v>
      </c>
      <c r="G112" s="101">
        <f t="shared" si="15"/>
        <v>2.4206000000000002E-2</v>
      </c>
      <c r="H112" s="101">
        <f t="shared" si="15"/>
        <v>2.4206000000000002E-2</v>
      </c>
      <c r="I112" s="101">
        <f t="shared" si="15"/>
        <v>2.3275000000000001E-2</v>
      </c>
      <c r="J112" s="101">
        <f t="shared" si="15"/>
        <v>2.3275000000000001E-2</v>
      </c>
      <c r="K112" s="101">
        <f t="shared" si="15"/>
        <v>2.3275000000000001E-2</v>
      </c>
      <c r="L112" s="101">
        <f t="shared" si="15"/>
        <v>2.3275000000000001E-2</v>
      </c>
      <c r="M112" s="101">
        <f t="shared" si="15"/>
        <v>2.3275000000000001E-2</v>
      </c>
      <c r="N112" s="101">
        <f t="shared" si="15"/>
        <v>2.3275000000000001E-2</v>
      </c>
      <c r="O112" s="101">
        <f t="shared" si="15"/>
        <v>2.3275000000000001E-2</v>
      </c>
      <c r="P112" s="101">
        <f t="shared" si="15"/>
        <v>2.30888E-2</v>
      </c>
      <c r="Q112" s="101">
        <f t="shared" si="15"/>
        <v>2.2902600000000002E-2</v>
      </c>
      <c r="R112" s="101">
        <f t="shared" si="15"/>
        <v>2.2716400000000001E-2</v>
      </c>
      <c r="S112" s="101">
        <f t="shared" si="15"/>
        <v>2.25302E-2</v>
      </c>
      <c r="T112" s="101">
        <f t="shared" si="15"/>
        <v>2.2343999999999999E-2</v>
      </c>
      <c r="U112" s="101">
        <f t="shared" si="15"/>
        <v>2.2157800000000002E-2</v>
      </c>
      <c r="V112" s="101">
        <f t="shared" si="15"/>
        <v>2.1971600000000001E-2</v>
      </c>
      <c r="W112" s="101">
        <f t="shared" si="15"/>
        <v>2.17854E-2</v>
      </c>
      <c r="X112" s="101">
        <f t="shared" si="15"/>
        <v>2.1599199999999999E-2</v>
      </c>
      <c r="Y112" s="101">
        <f t="shared" si="15"/>
        <v>2.1412999999999998E-2</v>
      </c>
      <c r="Z112" s="101">
        <f t="shared" si="15"/>
        <v>2.1226800000000001E-2</v>
      </c>
      <c r="AA112" s="101">
        <f t="shared" si="15"/>
        <v>2.10406E-2</v>
      </c>
      <c r="AB112" s="101">
        <f t="shared" si="15"/>
        <v>2.0854399999999999E-2</v>
      </c>
      <c r="AC112" s="101">
        <f t="shared" si="15"/>
        <v>2.0668199999999998E-2</v>
      </c>
      <c r="AD112" s="101">
        <f t="shared" si="15"/>
        <v>2.0482E-2</v>
      </c>
      <c r="AE112" s="101">
        <f t="shared" si="15"/>
        <v>2.0295799999999999E-2</v>
      </c>
      <c r="AF112" s="101">
        <f t="shared" si="15"/>
        <v>2.0109599999999998E-2</v>
      </c>
      <c r="AG112" s="101">
        <f t="shared" si="15"/>
        <v>1.9923399999999997E-2</v>
      </c>
      <c r="AH112" s="101">
        <f t="shared" si="15"/>
        <v>1.9737199999999996E-2</v>
      </c>
      <c r="AI112" s="101">
        <f t="shared" si="15"/>
        <v>1.9550999999999999E-2</v>
      </c>
      <c r="AJ112" s="101">
        <f t="shared" si="15"/>
        <v>1.9364799999999998E-2</v>
      </c>
      <c r="AK112" s="101">
        <f t="shared" si="15"/>
        <v>1.9178599999999997E-2</v>
      </c>
    </row>
    <row r="113" spans="1:46" x14ac:dyDescent="0.25">
      <c r="A113" s="60" t="s">
        <v>731</v>
      </c>
      <c r="B113" s="101">
        <f t="shared" si="13"/>
        <v>1.0699000000000002E-2</v>
      </c>
      <c r="C113" s="101">
        <f t="shared" ref="C113:AK113" si="16">C52*($B64*$B76+$B88*$B100)</f>
        <v>8.2300000000000012E-3</v>
      </c>
      <c r="D113" s="101">
        <f t="shared" si="16"/>
        <v>6.5840000000000013E-3</v>
      </c>
      <c r="E113" s="101">
        <f t="shared" si="16"/>
        <v>9.053000000000002E-3</v>
      </c>
      <c r="F113" s="101">
        <f t="shared" si="16"/>
        <v>8.2300000000000012E-3</v>
      </c>
      <c r="G113" s="101">
        <f t="shared" si="16"/>
        <v>8.2300000000000012E-3</v>
      </c>
      <c r="H113" s="101">
        <f t="shared" si="16"/>
        <v>8.2300000000000012E-3</v>
      </c>
      <c r="I113" s="101">
        <f t="shared" si="16"/>
        <v>8.2300000000000012E-3</v>
      </c>
      <c r="J113" s="101">
        <f t="shared" si="16"/>
        <v>8.2300000000000012E-3</v>
      </c>
      <c r="K113" s="101">
        <f t="shared" si="16"/>
        <v>8.2300000000000012E-3</v>
      </c>
      <c r="L113" s="101">
        <f t="shared" si="16"/>
        <v>7.4070000000000013E-3</v>
      </c>
      <c r="M113" s="101">
        <f t="shared" si="16"/>
        <v>7.4070000000000013E-3</v>
      </c>
      <c r="N113" s="101">
        <f t="shared" si="16"/>
        <v>7.4070000000000013E-3</v>
      </c>
      <c r="O113" s="101">
        <f t="shared" si="16"/>
        <v>7.2424000000000013E-3</v>
      </c>
      <c r="P113" s="101">
        <f t="shared" si="16"/>
        <v>7.0778000000000013E-3</v>
      </c>
      <c r="Q113" s="101">
        <f t="shared" si="16"/>
        <v>6.9132000000000004E-3</v>
      </c>
      <c r="R113" s="101">
        <f t="shared" si="16"/>
        <v>6.7486000000000004E-3</v>
      </c>
      <c r="S113" s="101">
        <f t="shared" si="16"/>
        <v>6.5840000000000004E-3</v>
      </c>
      <c r="T113" s="101">
        <f t="shared" si="16"/>
        <v>6.4194000000000005E-3</v>
      </c>
      <c r="U113" s="101">
        <f t="shared" si="16"/>
        <v>6.2548000000000005E-3</v>
      </c>
      <c r="V113" s="101">
        <f t="shared" si="16"/>
        <v>6.0901999999999996E-3</v>
      </c>
      <c r="W113" s="101">
        <f t="shared" si="16"/>
        <v>5.9255999999999996E-3</v>
      </c>
      <c r="X113" s="101">
        <f t="shared" si="16"/>
        <v>5.7609999999999996E-3</v>
      </c>
      <c r="Y113" s="101">
        <f t="shared" si="16"/>
        <v>5.5963999999999996E-3</v>
      </c>
      <c r="Z113" s="101">
        <f t="shared" si="16"/>
        <v>5.4317999999999996E-3</v>
      </c>
      <c r="AA113" s="101">
        <f t="shared" si="16"/>
        <v>5.2671999999999988E-3</v>
      </c>
      <c r="AB113" s="101">
        <f t="shared" si="16"/>
        <v>5.1025999999999988E-3</v>
      </c>
      <c r="AC113" s="101">
        <f t="shared" si="16"/>
        <v>4.9379999999999988E-3</v>
      </c>
      <c r="AD113" s="101">
        <f t="shared" si="16"/>
        <v>4.7733999999999988E-3</v>
      </c>
      <c r="AE113" s="101">
        <f t="shared" si="16"/>
        <v>4.608799999999998E-3</v>
      </c>
      <c r="AF113" s="101">
        <f t="shared" si="16"/>
        <v>4.444199999999998E-3</v>
      </c>
      <c r="AG113" s="101">
        <f t="shared" si="16"/>
        <v>4.279599999999998E-3</v>
      </c>
      <c r="AH113" s="101">
        <f t="shared" si="16"/>
        <v>4.114999999999998E-3</v>
      </c>
      <c r="AI113" s="101">
        <f t="shared" si="16"/>
        <v>3.950399999999998E-3</v>
      </c>
      <c r="AJ113" s="101">
        <f t="shared" si="16"/>
        <v>3.7857999999999976E-3</v>
      </c>
      <c r="AK113" s="101">
        <f t="shared" si="16"/>
        <v>3.6211999999999972E-3</v>
      </c>
    </row>
    <row r="114" spans="1:46" x14ac:dyDescent="0.25">
      <c r="A114" s="60" t="s">
        <v>732</v>
      </c>
      <c r="B114" s="101">
        <f t="shared" si="13"/>
        <v>0.35474999999999995</v>
      </c>
      <c r="C114" s="101">
        <f t="shared" ref="C114:AK114" si="17">C53*($B65*$B77+$B89*$B101)</f>
        <v>0.32924999999999999</v>
      </c>
      <c r="D114" s="101">
        <f t="shared" si="17"/>
        <v>0.28199999999999997</v>
      </c>
      <c r="E114" s="101">
        <f t="shared" si="17"/>
        <v>0.28724999999999995</v>
      </c>
      <c r="F114" s="101">
        <f t="shared" si="17"/>
        <v>0.29325000000000001</v>
      </c>
      <c r="G114" s="101">
        <f t="shared" si="17"/>
        <v>0.3</v>
      </c>
      <c r="H114" s="101">
        <f t="shared" si="17"/>
        <v>0.3</v>
      </c>
      <c r="I114" s="101">
        <f t="shared" si="17"/>
        <v>0.3</v>
      </c>
      <c r="J114" s="101">
        <f t="shared" si="17"/>
        <v>0.3</v>
      </c>
      <c r="K114" s="101">
        <f t="shared" si="17"/>
        <v>0.30599999999999999</v>
      </c>
      <c r="L114" s="101">
        <f t="shared" si="17"/>
        <v>0.30599999999999999</v>
      </c>
      <c r="M114" s="101">
        <f t="shared" si="17"/>
        <v>0.30599999999999999</v>
      </c>
      <c r="N114" s="101">
        <f t="shared" si="17"/>
        <v>0.30599999999999999</v>
      </c>
      <c r="O114" s="101">
        <f t="shared" si="17"/>
        <v>0.30719999999999992</v>
      </c>
      <c r="P114" s="101">
        <f t="shared" si="17"/>
        <v>0.3083999999999999</v>
      </c>
      <c r="Q114" s="101">
        <f t="shared" si="17"/>
        <v>0.30959999999999988</v>
      </c>
      <c r="R114" s="101">
        <f t="shared" si="17"/>
        <v>0.31079999999999985</v>
      </c>
      <c r="S114" s="101">
        <f t="shared" si="17"/>
        <v>0.31199999999999983</v>
      </c>
      <c r="T114" s="101">
        <f t="shared" si="17"/>
        <v>0.31319999999999981</v>
      </c>
      <c r="U114" s="101">
        <f t="shared" si="17"/>
        <v>0.31439999999999979</v>
      </c>
      <c r="V114" s="101">
        <f t="shared" si="17"/>
        <v>0.31559999999999977</v>
      </c>
      <c r="W114" s="101">
        <f t="shared" si="17"/>
        <v>0.31679999999999975</v>
      </c>
      <c r="X114" s="101">
        <f t="shared" si="17"/>
        <v>0.31799999999999973</v>
      </c>
      <c r="Y114" s="101">
        <f t="shared" si="17"/>
        <v>0.31919999999999971</v>
      </c>
      <c r="Z114" s="101">
        <f t="shared" si="17"/>
        <v>0.32039999999999969</v>
      </c>
      <c r="AA114" s="101">
        <f t="shared" si="17"/>
        <v>0.32159999999999961</v>
      </c>
      <c r="AB114" s="101">
        <f t="shared" si="17"/>
        <v>0.32279999999999959</v>
      </c>
      <c r="AC114" s="101">
        <f t="shared" si="17"/>
        <v>0.32399999999999957</v>
      </c>
      <c r="AD114" s="101">
        <f t="shared" si="17"/>
        <v>0.32519999999999954</v>
      </c>
      <c r="AE114" s="101">
        <f t="shared" si="17"/>
        <v>0.32639999999999952</v>
      </c>
      <c r="AF114" s="101">
        <f t="shared" si="17"/>
        <v>0.3275999999999995</v>
      </c>
      <c r="AG114" s="101">
        <f t="shared" si="17"/>
        <v>0.32879999999999948</v>
      </c>
      <c r="AH114" s="101">
        <f t="shared" si="17"/>
        <v>0.32999999999999946</v>
      </c>
      <c r="AI114" s="101">
        <f t="shared" si="17"/>
        <v>0.33119999999999944</v>
      </c>
      <c r="AJ114" s="101">
        <f t="shared" si="17"/>
        <v>0.33239999999999942</v>
      </c>
      <c r="AK114" s="101">
        <f t="shared" si="17"/>
        <v>0.3335999999999994</v>
      </c>
    </row>
    <row r="115" spans="1:46" x14ac:dyDescent="0.25">
      <c r="A115" s="60" t="s">
        <v>733</v>
      </c>
      <c r="B115" s="101">
        <f t="shared" si="13"/>
        <v>1.6198000000000001E-2</v>
      </c>
      <c r="C115" s="101">
        <f t="shared" ref="C115:AK115" si="18">C54*($B66*$B78+$B90*$B102)</f>
        <v>1.9313E-2</v>
      </c>
      <c r="D115" s="101">
        <f t="shared" si="18"/>
        <v>1.4952E-2</v>
      </c>
      <c r="E115" s="101">
        <f t="shared" si="18"/>
        <v>1.8067E-2</v>
      </c>
      <c r="F115" s="101">
        <f t="shared" si="18"/>
        <v>1.7444000000000001E-2</v>
      </c>
      <c r="G115" s="101">
        <f t="shared" si="18"/>
        <v>1.7444000000000001E-2</v>
      </c>
      <c r="H115" s="101">
        <f t="shared" si="18"/>
        <v>1.7444000000000001E-2</v>
      </c>
      <c r="I115" s="101">
        <f t="shared" si="18"/>
        <v>1.7444000000000001E-2</v>
      </c>
      <c r="J115" s="101">
        <f t="shared" si="18"/>
        <v>1.8067E-2</v>
      </c>
      <c r="K115" s="101">
        <f t="shared" si="18"/>
        <v>1.8067E-2</v>
      </c>
      <c r="L115" s="101">
        <f t="shared" si="18"/>
        <v>1.8067E-2</v>
      </c>
      <c r="M115" s="101">
        <f t="shared" si="18"/>
        <v>1.8067E-2</v>
      </c>
      <c r="N115" s="101">
        <f t="shared" si="18"/>
        <v>1.8067E-2</v>
      </c>
      <c r="O115" s="101">
        <f t="shared" si="18"/>
        <v>1.8191599999999999E-2</v>
      </c>
      <c r="P115" s="101">
        <f t="shared" si="18"/>
        <v>1.8316200000000001E-2</v>
      </c>
      <c r="Q115" s="101">
        <f t="shared" si="18"/>
        <v>1.84408E-2</v>
      </c>
      <c r="R115" s="101">
        <f t="shared" si="18"/>
        <v>1.8565399999999999E-2</v>
      </c>
      <c r="S115" s="101">
        <f t="shared" si="18"/>
        <v>1.8690000000000002E-2</v>
      </c>
      <c r="T115" s="101">
        <f t="shared" si="18"/>
        <v>1.8814600000000001E-2</v>
      </c>
      <c r="U115" s="101">
        <f t="shared" si="18"/>
        <v>1.89392E-2</v>
      </c>
      <c r="V115" s="101">
        <f t="shared" si="18"/>
        <v>1.9063800000000002E-2</v>
      </c>
      <c r="W115" s="101">
        <f t="shared" si="18"/>
        <v>1.9188400000000001E-2</v>
      </c>
      <c r="X115" s="101">
        <f t="shared" si="18"/>
        <v>1.9313E-2</v>
      </c>
      <c r="Y115" s="101">
        <f t="shared" si="18"/>
        <v>1.9437600000000003E-2</v>
      </c>
      <c r="Z115" s="101">
        <f t="shared" si="18"/>
        <v>1.9562200000000002E-2</v>
      </c>
      <c r="AA115" s="101">
        <f t="shared" si="18"/>
        <v>1.9686800000000001E-2</v>
      </c>
      <c r="AB115" s="101">
        <f t="shared" si="18"/>
        <v>1.9811400000000003E-2</v>
      </c>
      <c r="AC115" s="101">
        <f t="shared" si="18"/>
        <v>1.9936000000000002E-2</v>
      </c>
      <c r="AD115" s="101">
        <f t="shared" si="18"/>
        <v>2.0060600000000001E-2</v>
      </c>
      <c r="AE115" s="101">
        <f t="shared" si="18"/>
        <v>2.0185200000000004E-2</v>
      </c>
      <c r="AF115" s="101">
        <f t="shared" si="18"/>
        <v>2.0309800000000003E-2</v>
      </c>
      <c r="AG115" s="101">
        <f t="shared" si="18"/>
        <v>2.0434400000000002E-2</v>
      </c>
      <c r="AH115" s="101">
        <f t="shared" si="18"/>
        <v>2.0559000000000004E-2</v>
      </c>
      <c r="AI115" s="101">
        <f t="shared" si="18"/>
        <v>2.0683600000000003E-2</v>
      </c>
      <c r="AJ115" s="101">
        <f t="shared" si="18"/>
        <v>2.0808200000000002E-2</v>
      </c>
      <c r="AK115" s="101">
        <f t="shared" si="18"/>
        <v>2.0932800000000001E-2</v>
      </c>
    </row>
    <row r="116" spans="1:46" x14ac:dyDescent="0.25">
      <c r="A116" s="60" t="s">
        <v>734</v>
      </c>
      <c r="B116" s="101">
        <f t="shared" si="13"/>
        <v>6.5017000000000019E-2</v>
      </c>
      <c r="C116" s="101">
        <f t="shared" ref="C116:AK116" si="19">C55*($B67*$B79+$B91*$B103)</f>
        <v>7.6539000000000024E-2</v>
      </c>
      <c r="D116" s="101">
        <f t="shared" si="19"/>
        <v>9.1353000000000004E-2</v>
      </c>
      <c r="E116" s="101">
        <f t="shared" si="19"/>
        <v>8.0654000000000017E-2</v>
      </c>
      <c r="F116" s="101">
        <f t="shared" si="19"/>
        <v>7.5716000000000006E-2</v>
      </c>
      <c r="G116" s="101">
        <f t="shared" si="19"/>
        <v>7.7362000000000014E-2</v>
      </c>
      <c r="H116" s="101">
        <f t="shared" si="19"/>
        <v>7.8185000000000004E-2</v>
      </c>
      <c r="I116" s="101">
        <f t="shared" si="19"/>
        <v>7.8185000000000004E-2</v>
      </c>
      <c r="J116" s="101">
        <f t="shared" si="19"/>
        <v>7.9008000000000009E-2</v>
      </c>
      <c r="K116" s="101">
        <f t="shared" si="19"/>
        <v>7.9830999999999999E-2</v>
      </c>
      <c r="L116" s="101">
        <f t="shared" si="19"/>
        <v>8.0654000000000017E-2</v>
      </c>
      <c r="M116" s="101">
        <f t="shared" si="19"/>
        <v>8.1477000000000022E-2</v>
      </c>
      <c r="N116" s="101">
        <f t="shared" si="19"/>
        <v>8.2300000000000012E-2</v>
      </c>
      <c r="O116" s="101">
        <f t="shared" si="19"/>
        <v>8.3123000000000002E-2</v>
      </c>
      <c r="P116" s="101">
        <f t="shared" si="19"/>
        <v>8.3781400000000006E-2</v>
      </c>
      <c r="Q116" s="101">
        <f t="shared" si="19"/>
        <v>8.4439800000000009E-2</v>
      </c>
      <c r="R116" s="101">
        <f t="shared" si="19"/>
        <v>8.5098200000000013E-2</v>
      </c>
      <c r="S116" s="101">
        <f t="shared" si="19"/>
        <v>8.5756600000000016E-2</v>
      </c>
      <c r="T116" s="101">
        <f t="shared" si="19"/>
        <v>8.641500000000002E-2</v>
      </c>
      <c r="U116" s="101">
        <f t="shared" si="19"/>
        <v>8.7073400000000009E-2</v>
      </c>
      <c r="V116" s="101">
        <f t="shared" si="19"/>
        <v>8.7731800000000013E-2</v>
      </c>
      <c r="W116" s="101">
        <f t="shared" si="19"/>
        <v>8.8390200000000016E-2</v>
      </c>
      <c r="X116" s="101">
        <f t="shared" si="19"/>
        <v>8.9048600000000019E-2</v>
      </c>
      <c r="Y116" s="101">
        <f t="shared" si="19"/>
        <v>8.9707000000000023E-2</v>
      </c>
      <c r="Z116" s="101">
        <f t="shared" si="19"/>
        <v>9.0365400000000012E-2</v>
      </c>
      <c r="AA116" s="101">
        <f t="shared" si="19"/>
        <v>9.1023800000000016E-2</v>
      </c>
      <c r="AB116" s="101">
        <f t="shared" si="19"/>
        <v>9.1682200000000019E-2</v>
      </c>
      <c r="AC116" s="101">
        <f t="shared" si="19"/>
        <v>9.2340600000000023E-2</v>
      </c>
      <c r="AD116" s="101">
        <f t="shared" si="19"/>
        <v>9.2999000000000026E-2</v>
      </c>
      <c r="AE116" s="101">
        <f t="shared" si="19"/>
        <v>9.3657400000000016E-2</v>
      </c>
      <c r="AF116" s="101">
        <f t="shared" si="19"/>
        <v>9.4315800000000019E-2</v>
      </c>
      <c r="AG116" s="101">
        <f t="shared" si="19"/>
        <v>9.4974200000000022E-2</v>
      </c>
      <c r="AH116" s="101">
        <f t="shared" si="19"/>
        <v>9.5632600000000026E-2</v>
      </c>
      <c r="AI116" s="101">
        <f t="shared" si="19"/>
        <v>9.6291000000000029E-2</v>
      </c>
      <c r="AJ116" s="101">
        <f t="shared" si="19"/>
        <v>9.6949400000000019E-2</v>
      </c>
      <c r="AK116" s="101">
        <f t="shared" si="19"/>
        <v>9.7607800000000022E-2</v>
      </c>
    </row>
    <row r="117" spans="1:46" x14ac:dyDescent="0.25">
      <c r="A117" s="60" t="s">
        <v>735</v>
      </c>
      <c r="B117" s="101">
        <f t="shared" si="13"/>
        <v>0.71896000000000004</v>
      </c>
      <c r="C117" s="101">
        <f t="shared" ref="C117:AK117" si="20">C56*($B68*$B80+$B92*$B104)</f>
        <v>0.72776000000000007</v>
      </c>
      <c r="D117" s="101">
        <f t="shared" si="20"/>
        <v>0.78760000000000008</v>
      </c>
      <c r="E117" s="101">
        <f t="shared" si="20"/>
        <v>0.79288000000000003</v>
      </c>
      <c r="F117" s="101">
        <f t="shared" si="20"/>
        <v>0.79288000000000003</v>
      </c>
      <c r="G117" s="101">
        <f t="shared" si="20"/>
        <v>0.7964</v>
      </c>
      <c r="H117" s="101">
        <f t="shared" si="20"/>
        <v>0.80080000000000007</v>
      </c>
      <c r="I117" s="101">
        <f t="shared" si="20"/>
        <v>0.80080000000000007</v>
      </c>
      <c r="J117" s="101">
        <f t="shared" si="20"/>
        <v>0.80080000000000007</v>
      </c>
      <c r="K117" s="101">
        <f t="shared" si="20"/>
        <v>0.7964</v>
      </c>
      <c r="L117" s="101">
        <f t="shared" si="20"/>
        <v>0.7964</v>
      </c>
      <c r="M117" s="101">
        <f t="shared" si="20"/>
        <v>0.7964</v>
      </c>
      <c r="N117" s="101">
        <f t="shared" si="20"/>
        <v>0.7964</v>
      </c>
      <c r="O117" s="101">
        <f t="shared" si="20"/>
        <v>0.79552000000000012</v>
      </c>
      <c r="P117" s="101">
        <f t="shared" si="20"/>
        <v>0.79464000000000012</v>
      </c>
      <c r="Q117" s="101">
        <f t="shared" si="20"/>
        <v>0.79376000000000024</v>
      </c>
      <c r="R117" s="101">
        <f t="shared" si="20"/>
        <v>0.79288000000000025</v>
      </c>
      <c r="S117" s="101">
        <f t="shared" si="20"/>
        <v>0.79200000000000026</v>
      </c>
      <c r="T117" s="101">
        <f t="shared" si="20"/>
        <v>0.79112000000000038</v>
      </c>
      <c r="U117" s="101">
        <f t="shared" si="20"/>
        <v>0.79024000000000039</v>
      </c>
      <c r="V117" s="101">
        <f t="shared" si="20"/>
        <v>0.78936000000000039</v>
      </c>
      <c r="W117" s="101">
        <f t="shared" si="20"/>
        <v>0.78848000000000051</v>
      </c>
      <c r="X117" s="101">
        <f t="shared" si="20"/>
        <v>0.78760000000000052</v>
      </c>
      <c r="Y117" s="101">
        <f t="shared" si="20"/>
        <v>0.78672000000000064</v>
      </c>
      <c r="Z117" s="101">
        <f t="shared" si="20"/>
        <v>0.78584000000000065</v>
      </c>
      <c r="AA117" s="101">
        <f t="shared" si="20"/>
        <v>0.78496000000000066</v>
      </c>
      <c r="AB117" s="101">
        <f t="shared" si="20"/>
        <v>0.78408000000000078</v>
      </c>
      <c r="AC117" s="101">
        <f t="shared" si="20"/>
        <v>0.78320000000000078</v>
      </c>
      <c r="AD117" s="101">
        <f t="shared" si="20"/>
        <v>0.78232000000000079</v>
      </c>
      <c r="AE117" s="101">
        <f t="shared" si="20"/>
        <v>0.78144000000000091</v>
      </c>
      <c r="AF117" s="101">
        <f t="shared" si="20"/>
        <v>0.78056000000000092</v>
      </c>
      <c r="AG117" s="101">
        <f t="shared" si="20"/>
        <v>0.77968000000000104</v>
      </c>
      <c r="AH117" s="101">
        <f t="shared" si="20"/>
        <v>0.77880000000000105</v>
      </c>
      <c r="AI117" s="101">
        <f t="shared" si="20"/>
        <v>0.77792000000000106</v>
      </c>
      <c r="AJ117" s="101">
        <f t="shared" si="20"/>
        <v>0.77704000000000117</v>
      </c>
      <c r="AK117" s="101">
        <f t="shared" si="20"/>
        <v>0.77616000000000118</v>
      </c>
    </row>
    <row r="118" spans="1:46" x14ac:dyDescent="0.25">
      <c r="A118" s="60" t="s">
        <v>736</v>
      </c>
      <c r="B118" s="101">
        <f t="shared" si="13"/>
        <v>2.0426800000000002E-2</v>
      </c>
      <c r="C118" s="101">
        <f t="shared" ref="C118:AK118" si="21">C57*($B69*$B81+$B93*$B105)</f>
        <v>2.0087839999999999E-2</v>
      </c>
      <c r="D118" s="101">
        <f t="shared" si="21"/>
        <v>1.9855920000000003E-2</v>
      </c>
      <c r="E118" s="101">
        <f t="shared" si="21"/>
        <v>2.0730080000000001E-2</v>
      </c>
      <c r="F118" s="101">
        <f t="shared" si="21"/>
        <v>2.133664E-2</v>
      </c>
      <c r="G118" s="101">
        <f t="shared" si="21"/>
        <v>2.0801440000000001E-2</v>
      </c>
      <c r="H118" s="101">
        <f t="shared" si="21"/>
        <v>2.0498160000000001E-2</v>
      </c>
      <c r="I118" s="101">
        <f t="shared" si="21"/>
        <v>2.0212720000000003E-2</v>
      </c>
      <c r="J118" s="101">
        <f t="shared" si="21"/>
        <v>1.9945120000000004E-2</v>
      </c>
      <c r="K118" s="101">
        <f t="shared" si="21"/>
        <v>1.9731040000000005E-2</v>
      </c>
      <c r="L118" s="101">
        <f t="shared" si="21"/>
        <v>1.9499120000000002E-2</v>
      </c>
      <c r="M118" s="101">
        <f t="shared" si="21"/>
        <v>1.924936E-2</v>
      </c>
      <c r="N118" s="101">
        <f t="shared" si="21"/>
        <v>1.9070960000000001E-2</v>
      </c>
      <c r="O118" s="101">
        <f t="shared" si="21"/>
        <v>1.8842608000000004E-2</v>
      </c>
      <c r="P118" s="101">
        <f t="shared" si="21"/>
        <v>1.8592848000000002E-2</v>
      </c>
      <c r="Q118" s="101">
        <f t="shared" si="21"/>
        <v>1.8343088E-2</v>
      </c>
      <c r="R118" s="101">
        <f t="shared" si="21"/>
        <v>1.8093328000000002E-2</v>
      </c>
      <c r="S118" s="101">
        <f t="shared" si="21"/>
        <v>1.7843568000000001E-2</v>
      </c>
      <c r="T118" s="101">
        <f t="shared" si="21"/>
        <v>1.7593808000000002E-2</v>
      </c>
      <c r="U118" s="101">
        <f t="shared" si="21"/>
        <v>1.7344048000000001E-2</v>
      </c>
      <c r="V118" s="101">
        <f t="shared" si="21"/>
        <v>1.7094287999999999E-2</v>
      </c>
      <c r="W118" s="101">
        <f t="shared" si="21"/>
        <v>1.6844528000000001E-2</v>
      </c>
      <c r="X118" s="101">
        <f t="shared" si="21"/>
        <v>1.6594767999999999E-2</v>
      </c>
      <c r="Y118" s="101">
        <f t="shared" si="21"/>
        <v>1.6345008000000001E-2</v>
      </c>
      <c r="Z118" s="101">
        <f t="shared" si="21"/>
        <v>1.6095247999999999E-2</v>
      </c>
      <c r="AA118" s="101">
        <f t="shared" si="21"/>
        <v>1.5845487999999998E-2</v>
      </c>
      <c r="AB118" s="101">
        <f t="shared" si="21"/>
        <v>1.5595728E-2</v>
      </c>
      <c r="AC118" s="101">
        <f t="shared" si="21"/>
        <v>1.5345967999999998E-2</v>
      </c>
      <c r="AD118" s="101">
        <f t="shared" si="21"/>
        <v>1.5096207999999998E-2</v>
      </c>
      <c r="AE118" s="101">
        <f t="shared" si="21"/>
        <v>1.4846447999999998E-2</v>
      </c>
      <c r="AF118" s="101">
        <f t="shared" si="21"/>
        <v>1.4596687999999998E-2</v>
      </c>
      <c r="AG118" s="101">
        <f t="shared" si="21"/>
        <v>1.4346927999999998E-2</v>
      </c>
      <c r="AH118" s="101">
        <f t="shared" si="21"/>
        <v>1.4097167999999998E-2</v>
      </c>
      <c r="AI118" s="101">
        <f t="shared" si="21"/>
        <v>1.3847407999999997E-2</v>
      </c>
      <c r="AJ118" s="101">
        <f t="shared" si="21"/>
        <v>1.3597647999999997E-2</v>
      </c>
      <c r="AK118" s="101">
        <f t="shared" si="21"/>
        <v>1.3347887999999997E-2</v>
      </c>
    </row>
    <row r="119" spans="1:46" x14ac:dyDescent="0.25">
      <c r="A119" s="60" t="s">
        <v>737</v>
      </c>
      <c r="B119" s="101">
        <f t="shared" si="13"/>
        <v>1.9496400000000001E-2</v>
      </c>
      <c r="C119" s="101">
        <f t="shared" ref="C119:AK119" si="22">C58*($B70*$B82+$B94*$B106)</f>
        <v>1.9704300000000001E-2</v>
      </c>
      <c r="D119" s="101">
        <f t="shared" si="22"/>
        <v>1.9519500000000002E-2</v>
      </c>
      <c r="E119" s="101">
        <f t="shared" si="22"/>
        <v>1.9912200000000001E-2</v>
      </c>
      <c r="F119" s="101">
        <f t="shared" si="22"/>
        <v>2.0143200000000003E-2</v>
      </c>
      <c r="G119" s="101">
        <f t="shared" si="22"/>
        <v>2.0374200000000002E-2</v>
      </c>
      <c r="H119" s="101">
        <f t="shared" si="22"/>
        <v>2.0535900000000003E-2</v>
      </c>
      <c r="I119" s="101">
        <f t="shared" si="22"/>
        <v>2.0697600000000003E-2</v>
      </c>
      <c r="J119" s="101">
        <f t="shared" si="22"/>
        <v>2.0790000000000003E-2</v>
      </c>
      <c r="K119" s="101">
        <f t="shared" si="22"/>
        <v>2.0859300000000004E-2</v>
      </c>
      <c r="L119" s="101">
        <f t="shared" si="22"/>
        <v>2.0974800000000002E-2</v>
      </c>
      <c r="M119" s="101">
        <f t="shared" si="22"/>
        <v>2.1067200000000005E-2</v>
      </c>
      <c r="N119" s="101">
        <f t="shared" si="22"/>
        <v>2.1159600000000004E-2</v>
      </c>
      <c r="O119" s="101">
        <f t="shared" si="22"/>
        <v>2.1252000000000004E-2</v>
      </c>
      <c r="P119" s="101">
        <f t="shared" si="22"/>
        <v>2.1358260000000004E-2</v>
      </c>
      <c r="Q119" s="101">
        <f t="shared" si="22"/>
        <v>2.1464520000000004E-2</v>
      </c>
      <c r="R119" s="101">
        <f t="shared" si="22"/>
        <v>2.1570780000000008E-2</v>
      </c>
      <c r="S119" s="101">
        <f t="shared" si="22"/>
        <v>2.1677040000000009E-2</v>
      </c>
      <c r="T119" s="101">
        <f t="shared" si="22"/>
        <v>2.1783300000000009E-2</v>
      </c>
      <c r="U119" s="101">
        <f t="shared" si="22"/>
        <v>2.1889560000000009E-2</v>
      </c>
      <c r="V119" s="101">
        <f t="shared" si="22"/>
        <v>2.199582000000001E-2</v>
      </c>
      <c r="W119" s="101">
        <f t="shared" si="22"/>
        <v>2.2102080000000014E-2</v>
      </c>
      <c r="X119" s="101">
        <f t="shared" si="22"/>
        <v>2.2208340000000014E-2</v>
      </c>
      <c r="Y119" s="101">
        <f t="shared" si="22"/>
        <v>2.2314600000000014E-2</v>
      </c>
      <c r="Z119" s="101">
        <f t="shared" si="22"/>
        <v>2.2420860000000015E-2</v>
      </c>
      <c r="AA119" s="101">
        <f t="shared" si="22"/>
        <v>2.2527120000000015E-2</v>
      </c>
      <c r="AB119" s="101">
        <f t="shared" si="22"/>
        <v>2.2633380000000019E-2</v>
      </c>
      <c r="AC119" s="101">
        <f t="shared" si="22"/>
        <v>2.2739640000000019E-2</v>
      </c>
      <c r="AD119" s="101">
        <f t="shared" si="22"/>
        <v>2.284590000000002E-2</v>
      </c>
      <c r="AE119" s="101">
        <f t="shared" si="22"/>
        <v>2.295216000000002E-2</v>
      </c>
      <c r="AF119" s="101">
        <f t="shared" si="22"/>
        <v>2.3058420000000024E-2</v>
      </c>
      <c r="AG119" s="101">
        <f t="shared" si="22"/>
        <v>2.3164680000000021E-2</v>
      </c>
      <c r="AH119" s="101">
        <f t="shared" si="22"/>
        <v>2.3270940000000021E-2</v>
      </c>
      <c r="AI119" s="101">
        <f t="shared" si="22"/>
        <v>2.3377200000000018E-2</v>
      </c>
      <c r="AJ119" s="101">
        <f t="shared" si="22"/>
        <v>2.3483460000000015E-2</v>
      </c>
      <c r="AK119" s="101">
        <f t="shared" si="22"/>
        <v>2.3589720000000015E-2</v>
      </c>
    </row>
    <row r="121" spans="1:46" x14ac:dyDescent="0.25">
      <c r="A121" s="93" t="s">
        <v>750</v>
      </c>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row>
    <row r="122" spans="1:46" x14ac:dyDescent="0.25">
      <c r="B122">
        <v>2016</v>
      </c>
      <c r="C122">
        <v>2017</v>
      </c>
      <c r="D122">
        <v>2018</v>
      </c>
      <c r="E122">
        <v>2019</v>
      </c>
      <c r="F122">
        <v>2020</v>
      </c>
      <c r="G122">
        <v>2021</v>
      </c>
      <c r="H122">
        <v>2022</v>
      </c>
      <c r="I122">
        <v>2023</v>
      </c>
      <c r="J122">
        <v>2024</v>
      </c>
      <c r="K122">
        <v>2025</v>
      </c>
      <c r="L122">
        <v>2026</v>
      </c>
      <c r="M122">
        <v>2027</v>
      </c>
      <c r="N122">
        <v>2028</v>
      </c>
      <c r="O122">
        <v>2029</v>
      </c>
      <c r="P122">
        <v>2030</v>
      </c>
      <c r="Q122">
        <v>2031</v>
      </c>
      <c r="R122">
        <v>2032</v>
      </c>
      <c r="S122">
        <v>2033</v>
      </c>
      <c r="T122">
        <v>2034</v>
      </c>
      <c r="U122">
        <v>2035</v>
      </c>
      <c r="V122">
        <v>2036</v>
      </c>
      <c r="W122">
        <v>2037</v>
      </c>
      <c r="X122">
        <v>2038</v>
      </c>
      <c r="Y122">
        <v>2039</v>
      </c>
      <c r="Z122">
        <v>2040</v>
      </c>
      <c r="AA122">
        <v>2041</v>
      </c>
      <c r="AB122">
        <v>2042</v>
      </c>
      <c r="AC122">
        <v>2043</v>
      </c>
      <c r="AD122">
        <v>2044</v>
      </c>
      <c r="AE122">
        <v>2045</v>
      </c>
      <c r="AF122">
        <v>2046</v>
      </c>
      <c r="AG122">
        <v>2047</v>
      </c>
      <c r="AH122">
        <v>2048</v>
      </c>
      <c r="AI122">
        <v>2049</v>
      </c>
      <c r="AJ122">
        <v>2050</v>
      </c>
    </row>
    <row r="123" spans="1:46" x14ac:dyDescent="0.25">
      <c r="A123" s="60" t="s">
        <v>751</v>
      </c>
      <c r="B123" s="101">
        <f>(J9+J18)/'Cross-Page Data'!D13*1000</f>
        <v>145.30201342281879</v>
      </c>
      <c r="C123" s="101">
        <f t="shared" ref="C123:AJ123" si="23">$B$123*SUM(D110:D119)/SUM($C$110:$C$119)</f>
        <v>144.01240520874092</v>
      </c>
      <c r="D123" s="101">
        <f t="shared" si="23"/>
        <v>145.63719631024898</v>
      </c>
      <c r="E123" s="101">
        <f t="shared" si="23"/>
        <v>145.14182686640478</v>
      </c>
      <c r="F123" s="101">
        <f t="shared" si="23"/>
        <v>146.05393114521024</v>
      </c>
      <c r="G123" s="101">
        <f t="shared" si="23"/>
        <v>146.18757730360471</v>
      </c>
      <c r="H123" s="101">
        <f t="shared" si="23"/>
        <v>146.10472771378855</v>
      </c>
      <c r="I123" s="101">
        <f t="shared" si="23"/>
        <v>145.6735522881682</v>
      </c>
      <c r="J123" s="101">
        <f t="shared" si="23"/>
        <v>145.85250595685523</v>
      </c>
      <c r="K123" s="101">
        <f t="shared" si="23"/>
        <v>145.57786295211</v>
      </c>
      <c r="L123" s="101">
        <f t="shared" si="23"/>
        <v>145.36465058449963</v>
      </c>
      <c r="M123" s="101">
        <f t="shared" si="23"/>
        <v>145.4225417687673</v>
      </c>
      <c r="N123" s="101">
        <f t="shared" si="23"/>
        <v>145.28610457976302</v>
      </c>
      <c r="O123" s="101">
        <f t="shared" si="23"/>
        <v>145.121519235942</v>
      </c>
      <c r="P123" s="101">
        <f t="shared" si="23"/>
        <v>144.95693389212099</v>
      </c>
      <c r="Q123" s="101">
        <f t="shared" si="23"/>
        <v>144.79234854829994</v>
      </c>
      <c r="R123" s="101">
        <f t="shared" si="23"/>
        <v>144.6277632044789</v>
      </c>
      <c r="S123" s="101">
        <f t="shared" si="23"/>
        <v>144.46317786065788</v>
      </c>
      <c r="T123" s="101">
        <f t="shared" si="23"/>
        <v>144.29859251683686</v>
      </c>
      <c r="U123" s="101">
        <f t="shared" si="23"/>
        <v>144.13400717301582</v>
      </c>
      <c r="V123" s="101">
        <f t="shared" si="23"/>
        <v>143.9694218291948</v>
      </c>
      <c r="W123" s="101">
        <f t="shared" si="23"/>
        <v>143.80483648537378</v>
      </c>
      <c r="X123" s="101">
        <f t="shared" si="23"/>
        <v>143.64025114155277</v>
      </c>
      <c r="Y123" s="101">
        <f t="shared" si="23"/>
        <v>143.47566579773172</v>
      </c>
      <c r="Z123" s="101">
        <f t="shared" si="23"/>
        <v>143.31108045391071</v>
      </c>
      <c r="AA123" s="101">
        <f t="shared" si="23"/>
        <v>143.14649511008966</v>
      </c>
      <c r="AB123" s="101">
        <f t="shared" si="23"/>
        <v>142.98190976626864</v>
      </c>
      <c r="AC123" s="101">
        <f t="shared" si="23"/>
        <v>142.8173244224476</v>
      </c>
      <c r="AD123" s="101">
        <f t="shared" si="23"/>
        <v>142.65273907862658</v>
      </c>
      <c r="AE123" s="101">
        <f t="shared" si="23"/>
        <v>142.48815373480559</v>
      </c>
      <c r="AF123" s="101">
        <f t="shared" si="23"/>
        <v>142.32356839098458</v>
      </c>
      <c r="AG123" s="101">
        <f t="shared" si="23"/>
        <v>142.1589830471635</v>
      </c>
      <c r="AH123" s="101">
        <f t="shared" si="23"/>
        <v>141.99439770334249</v>
      </c>
      <c r="AI123" s="101">
        <f t="shared" si="23"/>
        <v>141.82981235952147</v>
      </c>
      <c r="AJ123" s="101">
        <f t="shared" si="23"/>
        <v>141.66522701570042</v>
      </c>
    </row>
    <row r="124" spans="1:46" x14ac:dyDescent="0.25">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row>
    <row r="125" spans="1:46" x14ac:dyDescent="0.25">
      <c r="A125" s="94" t="s">
        <v>630</v>
      </c>
      <c r="B125" s="73"/>
      <c r="C125" s="73"/>
      <c r="D125" s="73"/>
      <c r="E125" s="73"/>
      <c r="F125" s="73"/>
      <c r="G125" s="73"/>
      <c r="H125" s="73"/>
      <c r="I125" s="73"/>
      <c r="J125" s="73"/>
      <c r="K125" s="73"/>
      <c r="L125" s="73"/>
      <c r="M125" s="73"/>
      <c r="N125" s="73"/>
      <c r="O125" s="73"/>
      <c r="P125" s="73"/>
      <c r="Q125" s="73"/>
    </row>
    <row r="126" spans="1:46" x14ac:dyDescent="0.25">
      <c r="A126" s="93" t="s">
        <v>752</v>
      </c>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row>
    <row r="127" spans="1:46" x14ac:dyDescent="0.25">
      <c r="A127" s="62" t="s">
        <v>579</v>
      </c>
      <c r="B127" s="102">
        <v>0.44</v>
      </c>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row>
    <row r="128" spans="1:46" x14ac:dyDescent="0.25">
      <c r="A128" s="62" t="s">
        <v>580</v>
      </c>
      <c r="B128" s="102">
        <v>0.31</v>
      </c>
      <c r="C128" s="101"/>
      <c r="D128" s="101"/>
      <c r="E128" s="101"/>
      <c r="F128" s="101"/>
      <c r="G128" s="101"/>
      <c r="H128" s="101" t="s">
        <v>757</v>
      </c>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row>
    <row r="129" spans="1:46" x14ac:dyDescent="0.25">
      <c r="A129" s="62" t="s">
        <v>567</v>
      </c>
      <c r="B129" s="102">
        <v>0.5</v>
      </c>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row>
    <row r="130" spans="1:46" x14ac:dyDescent="0.25">
      <c r="A130" s="62" t="s">
        <v>568</v>
      </c>
      <c r="B130" s="102">
        <v>0.42</v>
      </c>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row>
    <row r="131" spans="1:46" x14ac:dyDescent="0.25">
      <c r="A131" s="62" t="s">
        <v>569</v>
      </c>
      <c r="B131" s="102">
        <v>0.45</v>
      </c>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row>
    <row r="132" spans="1:46" x14ac:dyDescent="0.25">
      <c r="A132" s="62" t="s">
        <v>589</v>
      </c>
      <c r="B132" s="102">
        <v>0.83</v>
      </c>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row>
    <row r="133" spans="1:46" x14ac:dyDescent="0.25">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row>
    <row r="134" spans="1:46" x14ac:dyDescent="0.25">
      <c r="A134" s="93" t="s">
        <v>753</v>
      </c>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row>
    <row r="135" spans="1:46" x14ac:dyDescent="0.25">
      <c r="A135" s="62" t="s">
        <v>579</v>
      </c>
      <c r="B135" s="102">
        <v>604</v>
      </c>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row>
    <row r="136" spans="1:46" x14ac:dyDescent="0.25">
      <c r="A136" s="62" t="s">
        <v>580</v>
      </c>
      <c r="B136" s="102">
        <v>389</v>
      </c>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row>
    <row r="137" spans="1:46" x14ac:dyDescent="0.25">
      <c r="A137" s="62" t="s">
        <v>567</v>
      </c>
      <c r="B137" s="102">
        <v>46</v>
      </c>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row>
    <row r="138" spans="1:46" x14ac:dyDescent="0.25">
      <c r="A138" s="62" t="s">
        <v>568</v>
      </c>
      <c r="B138" s="102">
        <v>48.5</v>
      </c>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row>
    <row r="139" spans="1:46" x14ac:dyDescent="0.25">
      <c r="A139" s="62" t="s">
        <v>569</v>
      </c>
      <c r="B139" s="102">
        <v>38.5</v>
      </c>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row>
    <row r="140" spans="1:46" x14ac:dyDescent="0.25">
      <c r="A140" s="62" t="s">
        <v>589</v>
      </c>
      <c r="B140" s="102">
        <v>0.9</v>
      </c>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row>
    <row r="142" spans="1:46" x14ac:dyDescent="0.25">
      <c r="A142" s="93" t="s">
        <v>755</v>
      </c>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row>
    <row r="143" spans="1:46" x14ac:dyDescent="0.25">
      <c r="B143">
        <v>2016</v>
      </c>
      <c r="C143">
        <v>2017</v>
      </c>
      <c r="D143">
        <v>2018</v>
      </c>
      <c r="E143">
        <v>2019</v>
      </c>
      <c r="F143">
        <v>2020</v>
      </c>
      <c r="G143">
        <v>2021</v>
      </c>
      <c r="H143">
        <v>2022</v>
      </c>
      <c r="I143">
        <v>2023</v>
      </c>
      <c r="J143">
        <v>2024</v>
      </c>
      <c r="K143">
        <v>2025</v>
      </c>
      <c r="L143">
        <v>2026</v>
      </c>
      <c r="M143">
        <v>2027</v>
      </c>
      <c r="N143">
        <v>2028</v>
      </c>
      <c r="O143">
        <v>2029</v>
      </c>
      <c r="P143">
        <v>2030</v>
      </c>
      <c r="Q143">
        <v>2031</v>
      </c>
      <c r="R143">
        <v>2032</v>
      </c>
      <c r="S143">
        <v>2033</v>
      </c>
      <c r="T143">
        <v>2034</v>
      </c>
      <c r="U143">
        <v>2035</v>
      </c>
      <c r="V143">
        <v>2036</v>
      </c>
      <c r="W143">
        <v>2037</v>
      </c>
      <c r="X143">
        <v>2038</v>
      </c>
      <c r="Y143">
        <v>2039</v>
      </c>
      <c r="Z143">
        <v>2040</v>
      </c>
      <c r="AA143">
        <v>2041</v>
      </c>
      <c r="AB143">
        <v>2042</v>
      </c>
      <c r="AC143">
        <v>2043</v>
      </c>
      <c r="AD143">
        <v>2044</v>
      </c>
      <c r="AE143">
        <v>2045</v>
      </c>
      <c r="AF143">
        <v>2046</v>
      </c>
      <c r="AG143">
        <v>2047</v>
      </c>
      <c r="AH143">
        <v>2048</v>
      </c>
      <c r="AI143">
        <v>2049</v>
      </c>
      <c r="AJ143">
        <v>2050</v>
      </c>
    </row>
    <row r="144" spans="1:46" x14ac:dyDescent="0.25">
      <c r="A144" s="60" t="s">
        <v>754</v>
      </c>
      <c r="B144">
        <f>SUMPRODUCT($B$127:$B$132,$B$135:$B$140,'Agriculture - EF &amp; Manure Mgmt'!L4:L9)/1000*365/10^6</f>
        <v>5.596429653065</v>
      </c>
      <c r="C144">
        <f>SUMPRODUCT($B$127:$B$132,$B$135:$B$140,'Agriculture - EF &amp; Manure Mgmt'!M4:M9)/1000*365/10^6</f>
        <v>5.6977737747849995</v>
      </c>
      <c r="D144">
        <f>SUMPRODUCT($B$127:$B$132,$B$135:$B$140,'Agriculture - EF &amp; Manure Mgmt'!N4:N9)/1000*365/10^6</f>
        <v>5.7469073323356916</v>
      </c>
      <c r="E144">
        <f>SUMPRODUCT($B$127:$B$132,$B$135:$B$140,'Agriculture - EF &amp; Manure Mgmt'!O4:O9)/1000*365/10^6</f>
        <v>5.7537228348796861</v>
      </c>
      <c r="F144">
        <f>SUMPRODUCT($B$127:$B$132,$B$135:$B$140,'Agriculture - EF &amp; Manure Mgmt'!P4:P9)/1000*365/10^6</f>
        <v>5.7329350030364647</v>
      </c>
      <c r="G144">
        <f>SUMPRODUCT($B$127:$B$132,$B$135:$B$140,'Agriculture - EF &amp; Manure Mgmt'!Q4:Q9)/1000*365/10^6</f>
        <v>5.7139302037136348</v>
      </c>
      <c r="H144">
        <f>SUMPRODUCT($B$127:$B$132,$B$135:$B$140,'Agriculture - EF &amp; Manure Mgmt'!R4:R9)/1000*365/10^6</f>
        <v>5.7045218555455035</v>
      </c>
      <c r="I144">
        <f>SUMPRODUCT($B$127:$B$132,$B$135:$B$140,'Agriculture - EF &amp; Manure Mgmt'!S4:S9)/1000*365/10^6</f>
        <v>5.6911607031769957</v>
      </c>
      <c r="J144">
        <f>SUMPRODUCT($B$127:$B$132,$B$135:$B$140,'Agriculture - EF &amp; Manure Mgmt'!T4:T9)/1000*365/10^6</f>
        <v>5.6721567573479659</v>
      </c>
      <c r="K144">
        <f>SUMPRODUCT($B$127:$B$132,$B$135:$B$140,'Agriculture - EF &amp; Manure Mgmt'!U4:U9)/1000*365/10^6</f>
        <v>5.6639888060478478</v>
      </c>
      <c r="L144">
        <f>SUMPRODUCT($B$127:$B$132,$B$135:$B$140,'Agriculture - EF &amp; Manure Mgmt'!V4:V9)/1000*365/10^6</f>
        <v>5.6688517392556825</v>
      </c>
      <c r="M144">
        <f>SUMPRODUCT($B$127:$B$132,$B$135:$B$140,'Agriculture - EF &amp; Manure Mgmt'!W4:W9)/1000*365/10^6</f>
        <v>5.685337388790475</v>
      </c>
      <c r="N144">
        <f>SUMPRODUCT($B$127:$B$132,$B$135:$B$140,'Agriculture - EF &amp; Manure Mgmt'!X4:X9)/1000*365/10^6</f>
        <v>5.6844635213310069</v>
      </c>
      <c r="O144">
        <f>SUMPRODUCT($B$127:$B$132,$B$135:$B$140,'Agriculture - EF &amp; Manure Mgmt'!Y4:Y9)/1000*365/10^6</f>
        <v>5.6836264922101032</v>
      </c>
      <c r="P144">
        <f>SUMPRODUCT($B$127:$B$132,$B$135:$B$140,'Agriculture - EF &amp; Manure Mgmt'!Z4:Z9)/1000*365/10^6</f>
        <v>5.6828263086584334</v>
      </c>
      <c r="Q144">
        <f>SUMPRODUCT($B$127:$B$132,$B$135:$B$140,'Agriculture - EF &amp; Manure Mgmt'!AA4:AA9)/1000*365/10^6</f>
        <v>5.682062979861155</v>
      </c>
      <c r="R144">
        <f>SUMPRODUCT($B$127:$B$132,$B$135:$B$140,'Agriculture - EF &amp; Manure Mgmt'!AB4:AB9)/1000*365/10^6</f>
        <v>5.6813365169450627</v>
      </c>
      <c r="S144">
        <f>SUMPRODUCT($B$127:$B$132,$B$135:$B$140,'Agriculture - EF &amp; Manure Mgmt'!AC4:AC9)/1000*365/10^6</f>
        <v>5.6806469329659786</v>
      </c>
      <c r="T144">
        <f>SUMPRODUCT($B$127:$B$132,$B$135:$B$140,'Agriculture - EF &amp; Manure Mgmt'!AD4:AD9)/1000*365/10^6</f>
        <v>5.6799942428963766</v>
      </c>
      <c r="U144">
        <f>SUMPRODUCT($B$127:$B$132,$B$135:$B$140,'Agriculture - EF &amp; Manure Mgmt'!AE4:AE9)/1000*365/10^6</f>
        <v>5.6793784636132596</v>
      </c>
      <c r="V144">
        <f>SUMPRODUCT($B$127:$B$132,$B$135:$B$140,'Agriculture - EF &amp; Manure Mgmt'!AF4:AF9)/1000*365/10^6</f>
        <v>5.6787996138862686</v>
      </c>
      <c r="W144">
        <f>SUMPRODUCT($B$127:$B$132,$B$135:$B$140,'Agriculture - EF &amp; Manure Mgmt'!AG4:AG9)/1000*365/10^6</f>
        <v>5.6782577143660244</v>
      </c>
      <c r="X144">
        <f>SUMPRODUCT($B$127:$B$132,$B$135:$B$140,'Agriculture - EF &amp; Manure Mgmt'!AH4:AH9)/1000*365/10^6</f>
        <v>5.6777527875727021</v>
      </c>
      <c r="Y144">
        <f>SUMPRODUCT($B$127:$B$132,$B$135:$B$140,'Agriculture - EF &amp; Manure Mgmt'!AI4:AI9)/1000*365/10^6</f>
        <v>5.6772848578848327</v>
      </c>
      <c r="Z144">
        <f>SUMPRODUCT($B$127:$B$132,$B$135:$B$140,'Agriculture - EF &amp; Manure Mgmt'!AJ4:AJ9)/1000*365/10^6</f>
        <v>5.6768539515283445</v>
      </c>
      <c r="AA144">
        <f>SUMPRODUCT($B$127:$B$132,$B$135:$B$140,'Agriculture - EF &amp; Manure Mgmt'!AK4:AK9)/1000*365/10^6</f>
        <v>5.6764600965658119</v>
      </c>
      <c r="AB144">
        <f>SUMPRODUCT($B$127:$B$132,$B$135:$B$140,'Agriculture - EF &amp; Manure Mgmt'!AL4:AL9)/1000*365/10^6</f>
        <v>5.6761033228859352</v>
      </c>
      <c r="AC144">
        <f>SUMPRODUCT($B$127:$B$132,$B$135:$B$140,'Agriculture - EF &amp; Manure Mgmt'!AM4:AM9)/1000*365/10^6</f>
        <v>5.6757836621932407</v>
      </c>
      <c r="AD144">
        <f>SUMPRODUCT($B$127:$B$132,$B$135:$B$140,'Agriculture - EF &amp; Manure Mgmt'!AN4:AN9)/1000*365/10^6</f>
        <v>5.6755011479979922</v>
      </c>
      <c r="AE144">
        <f>SUMPRODUCT($B$127:$B$132,$B$135:$B$140,'Agriculture - EF &amp; Manure Mgmt'!AO4:AO9)/1000*365/10^6</f>
        <v>5.6752558156063273</v>
      </c>
      <c r="AF144">
        <f>SUMPRODUCT($B$127:$B$132,$B$135:$B$140,'Agriculture - EF &amp; Manure Mgmt'!AP4:AP9)/1000*365/10^6</f>
        <v>5.6750477021106018</v>
      </c>
      <c r="AG144">
        <f>SUMPRODUCT($B$127:$B$132,$B$135:$B$140,'Agriculture - EF &amp; Manure Mgmt'!AQ4:AQ9)/1000*365/10^6</f>
        <v>5.6748768463799282</v>
      </c>
      <c r="AH144">
        <f>SUMPRODUCT($B$127:$B$132,$B$135:$B$140,'Agriculture - EF &amp; Manure Mgmt'!AR4:AR9)/1000*365/10^6</f>
        <v>5.6747432890509595</v>
      </c>
      <c r="AI144">
        <f>SUMPRODUCT($B$127:$B$132,$B$135:$B$140,'Agriculture - EF &amp; Manure Mgmt'!AS4:AS9)/1000*365/10^6</f>
        <v>5.6746470725188356</v>
      </c>
      <c r="AJ144">
        <f>SUMPRODUCT($B$127:$B$132,$B$135:$B$140,'Agriculture - EF &amp; Manure Mgmt'!AT4:AT9)/1000*365/10^6</f>
        <v>5.6745882409283768</v>
      </c>
    </row>
    <row r="146" spans="1:46" x14ac:dyDescent="0.25">
      <c r="A146" s="93" t="s">
        <v>750</v>
      </c>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row>
    <row r="147" spans="1:46" x14ac:dyDescent="0.25">
      <c r="B147">
        <v>2016</v>
      </c>
      <c r="C147">
        <v>2017</v>
      </c>
      <c r="D147">
        <v>2018</v>
      </c>
      <c r="E147">
        <v>2019</v>
      </c>
      <c r="F147">
        <v>2020</v>
      </c>
      <c r="G147">
        <v>2021</v>
      </c>
      <c r="H147">
        <v>2022</v>
      </c>
      <c r="I147">
        <v>2023</v>
      </c>
      <c r="J147">
        <v>2024</v>
      </c>
      <c r="K147">
        <v>2025</v>
      </c>
      <c r="L147">
        <v>2026</v>
      </c>
      <c r="M147">
        <v>2027</v>
      </c>
      <c r="N147">
        <v>2028</v>
      </c>
      <c r="O147">
        <v>2029</v>
      </c>
      <c r="P147">
        <v>2030</v>
      </c>
      <c r="Q147">
        <v>2031</v>
      </c>
      <c r="R147">
        <v>2032</v>
      </c>
      <c r="S147">
        <v>2033</v>
      </c>
      <c r="T147">
        <v>2034</v>
      </c>
      <c r="U147">
        <v>2035</v>
      </c>
      <c r="V147">
        <v>2036</v>
      </c>
      <c r="W147">
        <v>2037</v>
      </c>
      <c r="X147">
        <v>2038</v>
      </c>
      <c r="Y147">
        <v>2039</v>
      </c>
      <c r="Z147">
        <v>2040</v>
      </c>
      <c r="AA147">
        <v>2041</v>
      </c>
      <c r="AB147">
        <v>2042</v>
      </c>
      <c r="AC147">
        <v>2043</v>
      </c>
      <c r="AD147">
        <v>2044</v>
      </c>
      <c r="AE147">
        <v>2045</v>
      </c>
      <c r="AF147">
        <v>2046</v>
      </c>
      <c r="AG147">
        <v>2047</v>
      </c>
      <c r="AH147">
        <v>2048</v>
      </c>
      <c r="AI147">
        <v>2049</v>
      </c>
      <c r="AJ147">
        <v>2050</v>
      </c>
    </row>
    <row r="148" spans="1:46" x14ac:dyDescent="0.25">
      <c r="A148" s="60" t="s">
        <v>756</v>
      </c>
      <c r="B148">
        <f>(J8+J15+J16)/'Cross-Page Data'!D13*1000</f>
        <v>90.939597315436231</v>
      </c>
      <c r="C148">
        <f t="shared" ref="C148:AJ148" si="24">$B$148*C144/$B$144</f>
        <v>92.586396112318425</v>
      </c>
      <c r="D148">
        <f t="shared" si="24"/>
        <v>93.38479548751431</v>
      </c>
      <c r="E148">
        <f t="shared" si="24"/>
        <v>93.495544499880381</v>
      </c>
      <c r="F148">
        <f t="shared" si="24"/>
        <v>93.157751089782167</v>
      </c>
      <c r="G148">
        <f t="shared" si="24"/>
        <v>92.848931198419407</v>
      </c>
      <c r="H148">
        <f t="shared" si="24"/>
        <v>92.6960495494301</v>
      </c>
      <c r="I148">
        <f t="shared" si="24"/>
        <v>92.478936516409689</v>
      </c>
      <c r="J148">
        <f t="shared" si="24"/>
        <v>92.170130493957529</v>
      </c>
      <c r="K148">
        <f t="shared" si="24"/>
        <v>92.037404765560666</v>
      </c>
      <c r="L148">
        <f t="shared" si="24"/>
        <v>92.116425358171924</v>
      </c>
      <c r="M148">
        <f t="shared" si="24"/>
        <v>92.384310138847482</v>
      </c>
      <c r="N148">
        <f t="shared" si="24"/>
        <v>92.370110164971706</v>
      </c>
      <c r="O148">
        <f t="shared" si="24"/>
        <v>92.356508798401407</v>
      </c>
      <c r="P148">
        <f t="shared" si="24"/>
        <v>92.343506156631847</v>
      </c>
      <c r="Q148">
        <f t="shared" si="24"/>
        <v>92.331102388917941</v>
      </c>
      <c r="R148">
        <f t="shared" si="24"/>
        <v>92.319297676065375</v>
      </c>
      <c r="S148">
        <f t="shared" si="24"/>
        <v>92.308092230225682</v>
      </c>
      <c r="T148">
        <f t="shared" si="24"/>
        <v>92.29748629469519</v>
      </c>
      <c r="U148">
        <f t="shared" si="24"/>
        <v>92.287480143717985</v>
      </c>
      <c r="V148">
        <f t="shared" si="24"/>
        <v>92.278074082292761</v>
      </c>
      <c r="W148">
        <f t="shared" si="24"/>
        <v>92.269268445983286</v>
      </c>
      <c r="X148">
        <f t="shared" si="24"/>
        <v>92.261063600732811</v>
      </c>
      <c r="Y148">
        <f t="shared" si="24"/>
        <v>92.253459942682113</v>
      </c>
      <c r="Z148">
        <f t="shared" si="24"/>
        <v>92.246457897991306</v>
      </c>
      <c r="AA148">
        <f t="shared" si="24"/>
        <v>92.240057922665287</v>
      </c>
      <c r="AB148">
        <f t="shared" si="24"/>
        <v>92.23426050238271</v>
      </c>
      <c r="AC148">
        <f t="shared" si="24"/>
        <v>92.229066152328585</v>
      </c>
      <c r="AD148">
        <f t="shared" si="24"/>
        <v>92.224475417030476</v>
      </c>
      <c r="AE148">
        <f t="shared" si="24"/>
        <v>92.220488870198039</v>
      </c>
      <c r="AF148">
        <f t="shared" si="24"/>
        <v>92.217107114566247</v>
      </c>
      <c r="AG148">
        <f t="shared" si="24"/>
        <v>92.214330781741594</v>
      </c>
      <c r="AH148">
        <f t="shared" si="24"/>
        <v>92.212160532052465</v>
      </c>
      <c r="AI148">
        <f t="shared" si="24"/>
        <v>92.210597054401717</v>
      </c>
      <c r="AJ148">
        <f t="shared" si="24"/>
        <v>92.209641066123936</v>
      </c>
    </row>
    <row r="151" spans="1:46" x14ac:dyDescent="0.25">
      <c r="A151" s="94" t="s">
        <v>758</v>
      </c>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row>
    <row r="152" spans="1:46" x14ac:dyDescent="0.25">
      <c r="B152">
        <v>2016</v>
      </c>
      <c r="C152">
        <v>2017</v>
      </c>
      <c r="D152">
        <v>2018</v>
      </c>
      <c r="E152">
        <v>2019</v>
      </c>
      <c r="F152">
        <v>2020</v>
      </c>
      <c r="G152">
        <v>2021</v>
      </c>
      <c r="H152">
        <v>2022</v>
      </c>
      <c r="I152">
        <v>2023</v>
      </c>
      <c r="J152">
        <v>2024</v>
      </c>
      <c r="K152">
        <v>2025</v>
      </c>
      <c r="L152">
        <v>2026</v>
      </c>
      <c r="M152">
        <v>2027</v>
      </c>
      <c r="N152">
        <v>2028</v>
      </c>
      <c r="O152">
        <v>2029</v>
      </c>
      <c r="P152">
        <v>2030</v>
      </c>
      <c r="Q152">
        <v>2031</v>
      </c>
      <c r="R152">
        <v>2032</v>
      </c>
      <c r="S152">
        <v>2033</v>
      </c>
      <c r="T152">
        <v>2034</v>
      </c>
      <c r="U152">
        <v>2035</v>
      </c>
      <c r="V152">
        <v>2036</v>
      </c>
      <c r="W152">
        <v>2037</v>
      </c>
      <c r="X152">
        <v>2038</v>
      </c>
      <c r="Y152">
        <v>2039</v>
      </c>
      <c r="Z152">
        <v>2040</v>
      </c>
      <c r="AA152">
        <v>2041</v>
      </c>
      <c r="AB152">
        <v>2042</v>
      </c>
      <c r="AC152">
        <v>2043</v>
      </c>
      <c r="AD152">
        <v>2044</v>
      </c>
      <c r="AE152">
        <v>2045</v>
      </c>
      <c r="AF152">
        <v>2046</v>
      </c>
      <c r="AG152">
        <v>2047</v>
      </c>
      <c r="AH152">
        <v>2048</v>
      </c>
      <c r="AI152">
        <v>2049</v>
      </c>
      <c r="AJ152">
        <v>2050</v>
      </c>
    </row>
    <row r="153" spans="1:46" x14ac:dyDescent="0.25">
      <c r="A153" s="60" t="s">
        <v>629</v>
      </c>
      <c r="B153" s="100">
        <f t="shared" ref="B153:AJ153" si="25">C44</f>
        <v>216.44295302013421</v>
      </c>
      <c r="C153" s="100">
        <f t="shared" si="25"/>
        <v>216.44295302013421</v>
      </c>
      <c r="D153" s="100">
        <f t="shared" si="25"/>
        <v>216.44295302013421</v>
      </c>
      <c r="E153" s="100">
        <f t="shared" si="25"/>
        <v>216.44295302013421</v>
      </c>
      <c r="F153" s="100">
        <f t="shared" si="25"/>
        <v>216.44295302013421</v>
      </c>
      <c r="G153" s="100">
        <f t="shared" si="25"/>
        <v>216.44295302013421</v>
      </c>
      <c r="H153" s="100">
        <f t="shared" si="25"/>
        <v>216.44295302013421</v>
      </c>
      <c r="I153" s="100">
        <f t="shared" si="25"/>
        <v>216.44295302013421</v>
      </c>
      <c r="J153" s="100">
        <f t="shared" si="25"/>
        <v>216.44295302013421</v>
      </c>
      <c r="K153" s="100">
        <f t="shared" si="25"/>
        <v>216.44295302013421</v>
      </c>
      <c r="L153" s="100">
        <f t="shared" si="25"/>
        <v>216.44295302013421</v>
      </c>
      <c r="M153" s="100">
        <f t="shared" si="25"/>
        <v>216.44295302013421</v>
      </c>
      <c r="N153" s="100">
        <f t="shared" si="25"/>
        <v>216.44295302013421</v>
      </c>
      <c r="O153" s="100">
        <f t="shared" si="25"/>
        <v>216.44295302013421</v>
      </c>
      <c r="P153" s="100">
        <f t="shared" si="25"/>
        <v>216.44295302013421</v>
      </c>
      <c r="Q153" s="100">
        <f t="shared" si="25"/>
        <v>216.44295302013421</v>
      </c>
      <c r="R153" s="100">
        <f t="shared" si="25"/>
        <v>216.44295302013421</v>
      </c>
      <c r="S153" s="100">
        <f t="shared" si="25"/>
        <v>216.44295302013421</v>
      </c>
      <c r="T153" s="100">
        <f t="shared" si="25"/>
        <v>216.44295302013421</v>
      </c>
      <c r="U153" s="100">
        <f t="shared" si="25"/>
        <v>216.44295302013421</v>
      </c>
      <c r="V153" s="100">
        <f t="shared" si="25"/>
        <v>216.44295302013421</v>
      </c>
      <c r="W153" s="100">
        <f t="shared" si="25"/>
        <v>216.44295302013421</v>
      </c>
      <c r="X153" s="100">
        <f t="shared" si="25"/>
        <v>216.44295302013421</v>
      </c>
      <c r="Y153" s="100">
        <f t="shared" si="25"/>
        <v>216.44295302013421</v>
      </c>
      <c r="Z153" s="100">
        <f t="shared" si="25"/>
        <v>216.44295302013421</v>
      </c>
      <c r="AA153" s="100">
        <f t="shared" si="25"/>
        <v>216.44295302013421</v>
      </c>
      <c r="AB153" s="100">
        <f t="shared" si="25"/>
        <v>216.44295302013421</v>
      </c>
      <c r="AC153" s="100">
        <f t="shared" si="25"/>
        <v>216.44295302013421</v>
      </c>
      <c r="AD153" s="100">
        <f t="shared" si="25"/>
        <v>216.44295302013421</v>
      </c>
      <c r="AE153" s="100">
        <f t="shared" si="25"/>
        <v>216.44295302013421</v>
      </c>
      <c r="AF153" s="100">
        <f t="shared" si="25"/>
        <v>216.44295302013421</v>
      </c>
      <c r="AG153" s="100">
        <f t="shared" si="25"/>
        <v>216.44295302013421</v>
      </c>
      <c r="AH153" s="100">
        <f t="shared" si="25"/>
        <v>216.44295302013421</v>
      </c>
      <c r="AI153" s="100">
        <f t="shared" si="25"/>
        <v>216.44295302013421</v>
      </c>
      <c r="AJ153" s="100">
        <f t="shared" si="25"/>
        <v>216.44295302013421</v>
      </c>
    </row>
    <row r="154" spans="1:46" x14ac:dyDescent="0.25">
      <c r="A154" s="60" t="s">
        <v>630</v>
      </c>
      <c r="B154" s="65">
        <f t="shared" ref="B154:AJ154" si="26">B123</f>
        <v>145.30201342281879</v>
      </c>
      <c r="C154" s="65">
        <f t="shared" si="26"/>
        <v>144.01240520874092</v>
      </c>
      <c r="D154" s="65">
        <f t="shared" si="26"/>
        <v>145.63719631024898</v>
      </c>
      <c r="E154" s="65">
        <f t="shared" si="26"/>
        <v>145.14182686640478</v>
      </c>
      <c r="F154" s="65">
        <f t="shared" si="26"/>
        <v>146.05393114521024</v>
      </c>
      <c r="G154" s="65">
        <f t="shared" si="26"/>
        <v>146.18757730360471</v>
      </c>
      <c r="H154" s="65">
        <f t="shared" si="26"/>
        <v>146.10472771378855</v>
      </c>
      <c r="I154" s="65">
        <f t="shared" si="26"/>
        <v>145.6735522881682</v>
      </c>
      <c r="J154" s="65">
        <f t="shared" si="26"/>
        <v>145.85250595685523</v>
      </c>
      <c r="K154" s="65">
        <f t="shared" si="26"/>
        <v>145.57786295211</v>
      </c>
      <c r="L154" s="65">
        <f t="shared" si="26"/>
        <v>145.36465058449963</v>
      </c>
      <c r="M154" s="65">
        <f t="shared" si="26"/>
        <v>145.4225417687673</v>
      </c>
      <c r="N154" s="65">
        <f t="shared" si="26"/>
        <v>145.28610457976302</v>
      </c>
      <c r="O154" s="65">
        <f t="shared" si="26"/>
        <v>145.121519235942</v>
      </c>
      <c r="P154" s="65">
        <f t="shared" si="26"/>
        <v>144.95693389212099</v>
      </c>
      <c r="Q154" s="65">
        <f t="shared" si="26"/>
        <v>144.79234854829994</v>
      </c>
      <c r="R154" s="65">
        <f t="shared" si="26"/>
        <v>144.6277632044789</v>
      </c>
      <c r="S154" s="65">
        <f t="shared" si="26"/>
        <v>144.46317786065788</v>
      </c>
      <c r="T154" s="65">
        <f t="shared" si="26"/>
        <v>144.29859251683686</v>
      </c>
      <c r="U154" s="65">
        <f t="shared" si="26"/>
        <v>144.13400717301582</v>
      </c>
      <c r="V154" s="65">
        <f t="shared" si="26"/>
        <v>143.9694218291948</v>
      </c>
      <c r="W154" s="65">
        <f t="shared" si="26"/>
        <v>143.80483648537378</v>
      </c>
      <c r="X154" s="65">
        <f t="shared" si="26"/>
        <v>143.64025114155277</v>
      </c>
      <c r="Y154" s="65">
        <f t="shared" si="26"/>
        <v>143.47566579773172</v>
      </c>
      <c r="Z154" s="65">
        <f t="shared" si="26"/>
        <v>143.31108045391071</v>
      </c>
      <c r="AA154" s="65">
        <f t="shared" si="26"/>
        <v>143.14649511008966</v>
      </c>
      <c r="AB154" s="65">
        <f t="shared" si="26"/>
        <v>142.98190976626864</v>
      </c>
      <c r="AC154" s="65">
        <f t="shared" si="26"/>
        <v>142.8173244224476</v>
      </c>
      <c r="AD154" s="65">
        <f t="shared" si="26"/>
        <v>142.65273907862658</v>
      </c>
      <c r="AE154" s="65">
        <f t="shared" si="26"/>
        <v>142.48815373480559</v>
      </c>
      <c r="AF154" s="65">
        <f t="shared" si="26"/>
        <v>142.32356839098458</v>
      </c>
      <c r="AG154" s="65">
        <f t="shared" si="26"/>
        <v>142.1589830471635</v>
      </c>
      <c r="AH154" s="65">
        <f t="shared" si="26"/>
        <v>141.99439770334249</v>
      </c>
      <c r="AI154" s="65">
        <f t="shared" si="26"/>
        <v>141.82981235952147</v>
      </c>
      <c r="AJ154" s="65">
        <f t="shared" si="26"/>
        <v>141.66522701570042</v>
      </c>
    </row>
    <row r="155" spans="1:46" x14ac:dyDescent="0.25">
      <c r="A155" s="60" t="s">
        <v>631</v>
      </c>
      <c r="B155" s="65">
        <f t="shared" ref="B155:AJ155" si="27">B148</f>
        <v>90.939597315436231</v>
      </c>
      <c r="C155" s="65">
        <f t="shared" si="27"/>
        <v>92.586396112318425</v>
      </c>
      <c r="D155" s="65">
        <f t="shared" si="27"/>
        <v>93.38479548751431</v>
      </c>
      <c r="E155" s="65">
        <f t="shared" si="27"/>
        <v>93.495544499880381</v>
      </c>
      <c r="F155" s="65">
        <f t="shared" si="27"/>
        <v>93.157751089782167</v>
      </c>
      <c r="G155" s="65">
        <f t="shared" si="27"/>
        <v>92.848931198419407</v>
      </c>
      <c r="H155" s="65">
        <f t="shared" si="27"/>
        <v>92.6960495494301</v>
      </c>
      <c r="I155" s="65">
        <f t="shared" si="27"/>
        <v>92.478936516409689</v>
      </c>
      <c r="J155" s="65">
        <f t="shared" si="27"/>
        <v>92.170130493957529</v>
      </c>
      <c r="K155" s="65">
        <f t="shared" si="27"/>
        <v>92.037404765560666</v>
      </c>
      <c r="L155" s="65">
        <f t="shared" si="27"/>
        <v>92.116425358171924</v>
      </c>
      <c r="M155" s="65">
        <f t="shared" si="27"/>
        <v>92.384310138847482</v>
      </c>
      <c r="N155" s="65">
        <f t="shared" si="27"/>
        <v>92.370110164971706</v>
      </c>
      <c r="O155" s="65">
        <f t="shared" si="27"/>
        <v>92.356508798401407</v>
      </c>
      <c r="P155" s="65">
        <f t="shared" si="27"/>
        <v>92.343506156631847</v>
      </c>
      <c r="Q155" s="65">
        <f t="shared" si="27"/>
        <v>92.331102388917941</v>
      </c>
      <c r="R155" s="65">
        <f t="shared" si="27"/>
        <v>92.319297676065375</v>
      </c>
      <c r="S155" s="65">
        <f t="shared" si="27"/>
        <v>92.308092230225682</v>
      </c>
      <c r="T155" s="65">
        <f t="shared" si="27"/>
        <v>92.29748629469519</v>
      </c>
      <c r="U155" s="65">
        <f t="shared" si="27"/>
        <v>92.287480143717985</v>
      </c>
      <c r="V155" s="65">
        <f t="shared" si="27"/>
        <v>92.278074082292761</v>
      </c>
      <c r="W155" s="65">
        <f t="shared" si="27"/>
        <v>92.269268445983286</v>
      </c>
      <c r="X155" s="65">
        <f t="shared" si="27"/>
        <v>92.261063600732811</v>
      </c>
      <c r="Y155" s="65">
        <f t="shared" si="27"/>
        <v>92.253459942682113</v>
      </c>
      <c r="Z155" s="65">
        <f t="shared" si="27"/>
        <v>92.246457897991306</v>
      </c>
      <c r="AA155" s="65">
        <f t="shared" si="27"/>
        <v>92.240057922665287</v>
      </c>
      <c r="AB155" s="65">
        <f t="shared" si="27"/>
        <v>92.23426050238271</v>
      </c>
      <c r="AC155" s="65">
        <f t="shared" si="27"/>
        <v>92.229066152328585</v>
      </c>
      <c r="AD155" s="65">
        <f t="shared" si="27"/>
        <v>92.224475417030476</v>
      </c>
      <c r="AE155" s="65">
        <f t="shared" si="27"/>
        <v>92.220488870198039</v>
      </c>
      <c r="AF155" s="65">
        <f t="shared" si="27"/>
        <v>92.217107114566247</v>
      </c>
      <c r="AG155" s="65">
        <f t="shared" si="27"/>
        <v>92.214330781741594</v>
      </c>
      <c r="AH155" s="65">
        <f t="shared" si="27"/>
        <v>92.212160532052465</v>
      </c>
      <c r="AI155" s="65">
        <f t="shared" si="27"/>
        <v>92.210597054401717</v>
      </c>
      <c r="AJ155" s="65">
        <f t="shared" si="27"/>
        <v>92.209641066123936</v>
      </c>
    </row>
    <row r="156" spans="1:46" x14ac:dyDescent="0.25">
      <c r="A156" s="60" t="s">
        <v>759</v>
      </c>
      <c r="B156" s="65">
        <f>SUM(J10:J11,J19:J20,J17)</f>
        <v>102.79999999999998</v>
      </c>
      <c r="C156" s="65">
        <f t="shared" ref="C156:AJ156" si="28">B156</f>
        <v>102.79999999999998</v>
      </c>
      <c r="D156" s="65">
        <f t="shared" si="28"/>
        <v>102.79999999999998</v>
      </c>
      <c r="E156" s="65">
        <f t="shared" si="28"/>
        <v>102.79999999999998</v>
      </c>
      <c r="F156" s="65">
        <f t="shared" si="28"/>
        <v>102.79999999999998</v>
      </c>
      <c r="G156" s="65">
        <f t="shared" si="28"/>
        <v>102.79999999999998</v>
      </c>
      <c r="H156" s="65">
        <f t="shared" si="28"/>
        <v>102.79999999999998</v>
      </c>
      <c r="I156" s="65">
        <f t="shared" si="28"/>
        <v>102.79999999999998</v>
      </c>
      <c r="J156" s="65">
        <f t="shared" si="28"/>
        <v>102.79999999999998</v>
      </c>
      <c r="K156" s="65">
        <f t="shared" si="28"/>
        <v>102.79999999999998</v>
      </c>
      <c r="L156" s="65">
        <f t="shared" si="28"/>
        <v>102.79999999999998</v>
      </c>
      <c r="M156" s="65">
        <f t="shared" si="28"/>
        <v>102.79999999999998</v>
      </c>
      <c r="N156" s="65">
        <f t="shared" si="28"/>
        <v>102.79999999999998</v>
      </c>
      <c r="O156" s="65">
        <f t="shared" si="28"/>
        <v>102.79999999999998</v>
      </c>
      <c r="P156" s="65">
        <f t="shared" si="28"/>
        <v>102.79999999999998</v>
      </c>
      <c r="Q156" s="65">
        <f t="shared" si="28"/>
        <v>102.79999999999998</v>
      </c>
      <c r="R156" s="65">
        <f t="shared" si="28"/>
        <v>102.79999999999998</v>
      </c>
      <c r="S156" s="65">
        <f t="shared" si="28"/>
        <v>102.79999999999998</v>
      </c>
      <c r="T156" s="65">
        <f t="shared" si="28"/>
        <v>102.79999999999998</v>
      </c>
      <c r="U156" s="65">
        <f t="shared" si="28"/>
        <v>102.79999999999998</v>
      </c>
      <c r="V156" s="65">
        <f t="shared" si="28"/>
        <v>102.79999999999998</v>
      </c>
      <c r="W156" s="65">
        <f t="shared" si="28"/>
        <v>102.79999999999998</v>
      </c>
      <c r="X156" s="65">
        <f t="shared" si="28"/>
        <v>102.79999999999998</v>
      </c>
      <c r="Y156" s="65">
        <f t="shared" si="28"/>
        <v>102.79999999999998</v>
      </c>
      <c r="Z156" s="65">
        <f t="shared" si="28"/>
        <v>102.79999999999998</v>
      </c>
      <c r="AA156" s="65">
        <f t="shared" si="28"/>
        <v>102.79999999999998</v>
      </c>
      <c r="AB156" s="65">
        <f t="shared" si="28"/>
        <v>102.79999999999998</v>
      </c>
      <c r="AC156" s="65">
        <f t="shared" si="28"/>
        <v>102.79999999999998</v>
      </c>
      <c r="AD156" s="65">
        <f t="shared" si="28"/>
        <v>102.79999999999998</v>
      </c>
      <c r="AE156" s="65">
        <f t="shared" si="28"/>
        <v>102.79999999999998</v>
      </c>
      <c r="AF156" s="65">
        <f t="shared" si="28"/>
        <v>102.79999999999998</v>
      </c>
      <c r="AG156" s="65">
        <f t="shared" si="28"/>
        <v>102.79999999999998</v>
      </c>
      <c r="AH156" s="65">
        <f t="shared" si="28"/>
        <v>102.79999999999998</v>
      </c>
      <c r="AI156" s="65">
        <f t="shared" si="28"/>
        <v>102.79999999999998</v>
      </c>
      <c r="AJ156" s="65">
        <f t="shared" si="28"/>
        <v>102.79999999999998</v>
      </c>
    </row>
    <row r="157" spans="1:46" x14ac:dyDescent="0.25">
      <c r="A157" s="60" t="s">
        <v>760</v>
      </c>
      <c r="B157" s="100">
        <f>L32/'Cross-Page Data'!D13*1000</f>
        <v>154.0268456375839</v>
      </c>
      <c r="C157">
        <f>$B$157*SUM(C153:C156)/SUM($B$153:$B$156)</f>
        <v>154.12588878360503</v>
      </c>
      <c r="D157">
        <f t="shared" ref="D157:AJ157" si="29">$B$157*SUM(D153:D156)/SUM($B$153:$B$156)</f>
        <v>154.79780013786561</v>
      </c>
      <c r="E157">
        <f t="shared" si="29"/>
        <v>154.69115114040738</v>
      </c>
      <c r="F157">
        <f t="shared" si="29"/>
        <v>154.85039821457241</v>
      </c>
      <c r="G157">
        <f t="shared" si="29"/>
        <v>154.80182538413206</v>
      </c>
      <c r="H157">
        <f t="shared" si="29"/>
        <v>154.73646094108477</v>
      </c>
      <c r="I157">
        <f t="shared" si="29"/>
        <v>154.55670108300322</v>
      </c>
      <c r="J157">
        <f t="shared" si="29"/>
        <v>154.52069513476636</v>
      </c>
      <c r="K157">
        <f t="shared" si="29"/>
        <v>154.4077384028048</v>
      </c>
      <c r="L157">
        <f t="shared" si="29"/>
        <v>154.37052920355399</v>
      </c>
      <c r="M157">
        <f t="shared" si="29"/>
        <v>154.46086158637527</v>
      </c>
      <c r="N157">
        <f t="shared" si="29"/>
        <v>154.41909234822182</v>
      </c>
      <c r="O157">
        <f t="shared" si="29"/>
        <v>154.36968406808813</v>
      </c>
      <c r="P157">
        <f t="shared" si="29"/>
        <v>154.32044180461534</v>
      </c>
      <c r="Q157">
        <f t="shared" si="29"/>
        <v>154.27136559918944</v>
      </c>
      <c r="R157">
        <f t="shared" si="29"/>
        <v>154.22245550194489</v>
      </c>
      <c r="S157">
        <f t="shared" si="29"/>
        <v>154.17371157170788</v>
      </c>
      <c r="T157">
        <f t="shared" si="29"/>
        <v>154.12513387594052</v>
      </c>
      <c r="U157">
        <f t="shared" si="29"/>
        <v>154.07672249068622</v>
      </c>
      <c r="V157">
        <f t="shared" si="29"/>
        <v>154.02847750051615</v>
      </c>
      <c r="W157">
        <f t="shared" si="29"/>
        <v>153.98039899847677</v>
      </c>
      <c r="X157">
        <f t="shared" si="29"/>
        <v>153.93248708603815</v>
      </c>
      <c r="Y157">
        <f t="shared" si="29"/>
        <v>153.88474187304368</v>
      </c>
      <c r="Z157">
        <f t="shared" si="29"/>
        <v>153.83716347766068</v>
      </c>
      <c r="AA157">
        <f t="shared" si="29"/>
        <v>153.7897520263318</v>
      </c>
      <c r="AB157">
        <f t="shared" si="29"/>
        <v>153.74250765372796</v>
      </c>
      <c r="AC157">
        <f t="shared" si="29"/>
        <v>153.69543050270153</v>
      </c>
      <c r="AD157">
        <f t="shared" si="29"/>
        <v>153.64852072424114</v>
      </c>
      <c r="AE157">
        <f t="shared" si="29"/>
        <v>153.60177847742725</v>
      </c>
      <c r="AF157">
        <f t="shared" si="29"/>
        <v>153.55520392938837</v>
      </c>
      <c r="AG157">
        <f t="shared" si="29"/>
        <v>153.5087972552588</v>
      </c>
      <c r="AH157">
        <f t="shared" si="29"/>
        <v>153.46255863813681</v>
      </c>
      <c r="AI157">
        <f t="shared" si="29"/>
        <v>153.41648826904401</v>
      </c>
      <c r="AJ157">
        <f t="shared" si="29"/>
        <v>153.3705863468856</v>
      </c>
    </row>
    <row r="159" spans="1:46" x14ac:dyDescent="0.25">
      <c r="A159" s="60" t="s">
        <v>761</v>
      </c>
      <c r="B159" s="100">
        <f t="shared" ref="B159:AJ159" si="30">SUM(B153:B157)</f>
        <v>709.51140939597303</v>
      </c>
      <c r="C159" s="100">
        <f t="shared" si="30"/>
        <v>709.96764312479854</v>
      </c>
      <c r="D159" s="100">
        <f t="shared" si="30"/>
        <v>713.06274495576304</v>
      </c>
      <c r="E159" s="100">
        <f t="shared" si="30"/>
        <v>712.57147552682682</v>
      </c>
      <c r="F159" s="100">
        <f t="shared" si="30"/>
        <v>713.30503346969908</v>
      </c>
      <c r="G159" s="100">
        <f t="shared" si="30"/>
        <v>713.0812869062903</v>
      </c>
      <c r="H159" s="100">
        <f t="shared" si="30"/>
        <v>712.78019122443766</v>
      </c>
      <c r="I159" s="100">
        <f t="shared" si="30"/>
        <v>711.95214290771526</v>
      </c>
      <c r="J159" s="100">
        <f t="shared" si="30"/>
        <v>711.78628460571326</v>
      </c>
      <c r="K159" s="100">
        <f t="shared" si="30"/>
        <v>711.26595914060977</v>
      </c>
      <c r="L159" s="100">
        <f t="shared" si="30"/>
        <v>711.09455816635977</v>
      </c>
      <c r="M159" s="100">
        <f t="shared" si="30"/>
        <v>711.51066651412418</v>
      </c>
      <c r="N159" s="100">
        <f t="shared" si="30"/>
        <v>711.31826011309079</v>
      </c>
      <c r="O159" s="100">
        <f t="shared" si="30"/>
        <v>711.09066512256572</v>
      </c>
      <c r="P159" s="100">
        <f t="shared" si="30"/>
        <v>710.86383487350236</v>
      </c>
      <c r="Q159" s="100">
        <f t="shared" si="30"/>
        <v>710.63776955654157</v>
      </c>
      <c r="R159" s="100">
        <f t="shared" si="30"/>
        <v>710.41246940262329</v>
      </c>
      <c r="S159" s="100">
        <f t="shared" si="30"/>
        <v>710.18793468272565</v>
      </c>
      <c r="T159" s="100">
        <f t="shared" si="30"/>
        <v>709.96416570760675</v>
      </c>
      <c r="U159" s="100">
        <f t="shared" si="30"/>
        <v>709.74116282755426</v>
      </c>
      <c r="V159" s="100">
        <f t="shared" si="30"/>
        <v>709.51892643213785</v>
      </c>
      <c r="W159" s="100">
        <f t="shared" si="30"/>
        <v>709.29745694996802</v>
      </c>
      <c r="X159" s="100">
        <f t="shared" si="30"/>
        <v>709.07675484845788</v>
      </c>
      <c r="Y159" s="100">
        <f t="shared" si="30"/>
        <v>708.85682063359172</v>
      </c>
      <c r="Z159" s="100">
        <f t="shared" si="30"/>
        <v>708.6376548496969</v>
      </c>
      <c r="AA159" s="100">
        <f t="shared" si="30"/>
        <v>708.41925807922098</v>
      </c>
      <c r="AB159" s="100">
        <f t="shared" si="30"/>
        <v>708.20163094251348</v>
      </c>
      <c r="AC159" s="100">
        <f t="shared" si="30"/>
        <v>707.98477409761199</v>
      </c>
      <c r="AD159" s="100">
        <f t="shared" si="30"/>
        <v>707.76868824003236</v>
      </c>
      <c r="AE159" s="100">
        <f t="shared" si="30"/>
        <v>707.55337410256516</v>
      </c>
      <c r="AF159" s="100">
        <f t="shared" si="30"/>
        <v>707.33883245507332</v>
      </c>
      <c r="AG159" s="100">
        <f t="shared" si="30"/>
        <v>707.12506410429819</v>
      </c>
      <c r="AH159" s="100">
        <f t="shared" si="30"/>
        <v>706.91206989366594</v>
      </c>
      <c r="AI159" s="100">
        <f t="shared" si="30"/>
        <v>706.69985070310145</v>
      </c>
      <c r="AJ159" s="100">
        <f t="shared" si="30"/>
        <v>706.4884074488441</v>
      </c>
    </row>
  </sheetData>
  <mergeCells count="2">
    <mergeCell ref="A22:J22"/>
    <mergeCell ref="A33:L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3"/>
  <sheetViews>
    <sheetView workbookViewId="0">
      <selection activeCell="B8" sqref="B8:B13"/>
    </sheetView>
  </sheetViews>
  <sheetFormatPr defaultRowHeight="15" x14ac:dyDescent="0.25"/>
  <cols>
    <col min="1" max="1" width="39.140625" customWidth="1"/>
    <col min="2" max="2" width="12" bestFit="1" customWidth="1"/>
  </cols>
  <sheetData>
    <row r="1" spans="1:37" x14ac:dyDescent="0.25">
      <c r="A1" s="55" t="s">
        <v>773</v>
      </c>
      <c r="B1" s="55"/>
      <c r="C1" s="55"/>
      <c r="D1" s="55"/>
      <c r="E1" s="55"/>
      <c r="F1" s="55"/>
    </row>
    <row r="2" spans="1:37" x14ac:dyDescent="0.25">
      <c r="A2" s="104" t="s">
        <v>791</v>
      </c>
      <c r="B2">
        <v>2012</v>
      </c>
      <c r="C2">
        <v>2013</v>
      </c>
      <c r="D2">
        <v>2014</v>
      </c>
      <c r="E2">
        <v>2015</v>
      </c>
      <c r="F2">
        <v>2016</v>
      </c>
    </row>
    <row r="3" spans="1:37" x14ac:dyDescent="0.25">
      <c r="A3" t="s">
        <v>787</v>
      </c>
      <c r="B3" s="62">
        <v>4680</v>
      </c>
      <c r="C3" s="62">
        <v>4531</v>
      </c>
      <c r="D3" s="62">
        <v>4509</v>
      </c>
      <c r="E3" s="62">
        <v>4467</v>
      </c>
      <c r="F3" s="62">
        <v>4306</v>
      </c>
    </row>
    <row r="4" spans="1:37" x14ac:dyDescent="0.25">
      <c r="A4" t="s">
        <v>788</v>
      </c>
      <c r="B4">
        <v>604</v>
      </c>
      <c r="C4">
        <v>596</v>
      </c>
      <c r="D4">
        <v>598</v>
      </c>
      <c r="E4">
        <v>605</v>
      </c>
      <c r="F4">
        <v>593</v>
      </c>
    </row>
    <row r="5" spans="1:37" x14ac:dyDescent="0.25">
      <c r="A5" t="s">
        <v>789</v>
      </c>
      <c r="B5">
        <v>77</v>
      </c>
      <c r="C5">
        <v>81</v>
      </c>
      <c r="D5">
        <v>84</v>
      </c>
      <c r="E5">
        <v>84</v>
      </c>
      <c r="F5">
        <v>85</v>
      </c>
    </row>
    <row r="7" spans="1:37" x14ac:dyDescent="0.25">
      <c r="A7" s="55" t="s">
        <v>555</v>
      </c>
      <c r="B7" s="55"/>
      <c r="C7" s="55"/>
      <c r="D7" s="55"/>
      <c r="E7" s="55"/>
      <c r="F7" s="55"/>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row>
    <row r="8" spans="1:37" x14ac:dyDescent="0.25">
      <c r="B8">
        <v>2016</v>
      </c>
      <c r="C8">
        <v>2017</v>
      </c>
      <c r="D8">
        <v>2018</v>
      </c>
      <c r="E8">
        <v>2019</v>
      </c>
      <c r="F8">
        <v>2020</v>
      </c>
      <c r="G8">
        <v>2021</v>
      </c>
      <c r="H8">
        <v>2022</v>
      </c>
      <c r="I8">
        <v>2023</v>
      </c>
      <c r="J8">
        <v>2024</v>
      </c>
      <c r="K8">
        <v>2025</v>
      </c>
      <c r="L8">
        <v>2026</v>
      </c>
      <c r="M8">
        <v>2027</v>
      </c>
      <c r="N8">
        <v>2028</v>
      </c>
      <c r="O8">
        <v>2029</v>
      </c>
      <c r="P8">
        <v>2030</v>
      </c>
      <c r="Q8">
        <v>2031</v>
      </c>
      <c r="R8">
        <v>2032</v>
      </c>
      <c r="S8">
        <v>2033</v>
      </c>
      <c r="T8">
        <v>2034</v>
      </c>
      <c r="U8">
        <v>2035</v>
      </c>
      <c r="V8">
        <v>2036</v>
      </c>
      <c r="W8">
        <v>2037</v>
      </c>
      <c r="X8">
        <v>2038</v>
      </c>
      <c r="Y8">
        <v>2039</v>
      </c>
      <c r="Z8">
        <v>2040</v>
      </c>
      <c r="AA8">
        <v>2041</v>
      </c>
      <c r="AB8">
        <v>2042</v>
      </c>
      <c r="AC8">
        <v>2043</v>
      </c>
      <c r="AD8">
        <v>2044</v>
      </c>
      <c r="AE8">
        <v>2045</v>
      </c>
      <c r="AF8">
        <v>2046</v>
      </c>
      <c r="AG8">
        <v>2047</v>
      </c>
      <c r="AH8">
        <v>2048</v>
      </c>
      <c r="AI8">
        <v>2049</v>
      </c>
      <c r="AJ8">
        <v>2050</v>
      </c>
    </row>
    <row r="9" spans="1:37" x14ac:dyDescent="0.25">
      <c r="A9" t="s">
        <v>790</v>
      </c>
      <c r="B9" s="62">
        <f>F3</f>
        <v>4306</v>
      </c>
      <c r="C9">
        <f t="shared" ref="C9:AJ9" si="0">($F$3-$B$3)/COUNT($C$2:$F$2)+B9</f>
        <v>4212.5</v>
      </c>
      <c r="D9">
        <f t="shared" si="0"/>
        <v>4119</v>
      </c>
      <c r="E9">
        <f t="shared" si="0"/>
        <v>4025.5</v>
      </c>
      <c r="F9">
        <f t="shared" si="0"/>
        <v>3932</v>
      </c>
      <c r="G9">
        <f t="shared" si="0"/>
        <v>3838.5</v>
      </c>
      <c r="H9">
        <f t="shared" si="0"/>
        <v>3745</v>
      </c>
      <c r="I9">
        <f t="shared" si="0"/>
        <v>3651.5</v>
      </c>
      <c r="J9">
        <f t="shared" si="0"/>
        <v>3558</v>
      </c>
      <c r="K9">
        <f t="shared" si="0"/>
        <v>3464.5</v>
      </c>
      <c r="L9">
        <f t="shared" si="0"/>
        <v>3371</v>
      </c>
      <c r="M9">
        <f t="shared" si="0"/>
        <v>3277.5</v>
      </c>
      <c r="N9">
        <f t="shared" si="0"/>
        <v>3184</v>
      </c>
      <c r="O9">
        <f t="shared" si="0"/>
        <v>3090.5</v>
      </c>
      <c r="P9">
        <f t="shared" si="0"/>
        <v>2997</v>
      </c>
      <c r="Q9">
        <f t="shared" si="0"/>
        <v>2903.5</v>
      </c>
      <c r="R9">
        <f t="shared" si="0"/>
        <v>2810</v>
      </c>
      <c r="S9">
        <f t="shared" si="0"/>
        <v>2716.5</v>
      </c>
      <c r="T9">
        <f t="shared" si="0"/>
        <v>2623</v>
      </c>
      <c r="U9">
        <f t="shared" si="0"/>
        <v>2529.5</v>
      </c>
      <c r="V9">
        <f t="shared" si="0"/>
        <v>2436</v>
      </c>
      <c r="W9">
        <f t="shared" si="0"/>
        <v>2342.5</v>
      </c>
      <c r="X9">
        <f t="shared" si="0"/>
        <v>2249</v>
      </c>
      <c r="Y9">
        <f t="shared" si="0"/>
        <v>2155.5</v>
      </c>
      <c r="Z9">
        <f t="shared" si="0"/>
        <v>2062</v>
      </c>
      <c r="AA9">
        <f t="shared" si="0"/>
        <v>1968.5</v>
      </c>
      <c r="AB9">
        <f t="shared" si="0"/>
        <v>1875</v>
      </c>
      <c r="AC9">
        <f t="shared" si="0"/>
        <v>1781.5</v>
      </c>
      <c r="AD9">
        <f t="shared" si="0"/>
        <v>1688</v>
      </c>
      <c r="AE9">
        <f t="shared" si="0"/>
        <v>1594.5</v>
      </c>
      <c r="AF9">
        <f t="shared" si="0"/>
        <v>1501</v>
      </c>
      <c r="AG9">
        <f t="shared" si="0"/>
        <v>1407.5</v>
      </c>
      <c r="AH9">
        <f t="shared" si="0"/>
        <v>1314</v>
      </c>
      <c r="AI9">
        <f t="shared" si="0"/>
        <v>1220.5</v>
      </c>
      <c r="AJ9">
        <f t="shared" si="0"/>
        <v>1127</v>
      </c>
    </row>
    <row r="10" spans="1:37" x14ac:dyDescent="0.25">
      <c r="A10" t="s">
        <v>792</v>
      </c>
      <c r="B10" s="65">
        <f>F4</f>
        <v>593</v>
      </c>
      <c r="C10" s="65">
        <f>$B$10*SUM('AEO 2018_Table 24'!D32,'AEO 2018_Table 24'!D27)/SUM('AEO 2018_Table 24'!$C$27,'AEO 2018_Table 24'!$C$32)</f>
        <v>608.65133589219704</v>
      </c>
      <c r="D10" s="65">
        <f>$B$10*SUM('AEO 2018_Table 24'!E32,'AEO 2018_Table 24'!E27)/SUM('AEO 2018_Table 24'!$C$27,'AEO 2018_Table 24'!$C$32)</f>
        <v>604.52150278980469</v>
      </c>
      <c r="E10" s="65">
        <f>$B$10*SUM('AEO 2018_Table 24'!F32,'AEO 2018_Table 24'!F27)/SUM('AEO 2018_Table 24'!$C$27,'AEO 2018_Table 24'!$C$32)</f>
        <v>611.59101787485179</v>
      </c>
      <c r="F10" s="65">
        <f>$B$10*SUM('AEO 2018_Table 24'!G32,'AEO 2018_Table 24'!G27)/SUM('AEO 2018_Table 24'!$C$27,'AEO 2018_Table 24'!$C$32)</f>
        <v>619.73468995077224</v>
      </c>
      <c r="G10" s="65">
        <f>$B$10*SUM('AEO 2018_Table 24'!H32,'AEO 2018_Table 24'!H27)/SUM('AEO 2018_Table 24'!$C$27,'AEO 2018_Table 24'!$C$32)</f>
        <v>630.13914966826781</v>
      </c>
      <c r="H10" s="65">
        <f>$B$10*SUM('AEO 2018_Table 24'!I32,'AEO 2018_Table 24'!I27)/SUM('AEO 2018_Table 24'!$C$27,'AEO 2018_Table 24'!$C$32)</f>
        <v>641.27481255736279</v>
      </c>
      <c r="I10" s="65">
        <f>$B$10*SUM('AEO 2018_Table 24'!J32,'AEO 2018_Table 24'!J27)/SUM('AEO 2018_Table 24'!$C$27,'AEO 2018_Table 24'!$C$32)</f>
        <v>651.52806536570108</v>
      </c>
      <c r="J10" s="65">
        <f>$B$10*SUM('AEO 2018_Table 24'!K32,'AEO 2018_Table 24'!K27)/SUM('AEO 2018_Table 24'!$C$27,'AEO 2018_Table 24'!$C$32)</f>
        <v>661.86474627891801</v>
      </c>
      <c r="K10" s="65">
        <f>$B$10*SUM('AEO 2018_Table 24'!L32,'AEO 2018_Table 24'!L27)/SUM('AEO 2018_Table 24'!$C$27,'AEO 2018_Table 24'!$C$32)</f>
        <v>671.66031519109845</v>
      </c>
      <c r="L10" s="65">
        <f>$B$10*SUM('AEO 2018_Table 24'!M32,'AEO 2018_Table 24'!M27)/SUM('AEO 2018_Table 24'!$C$27,'AEO 2018_Table 24'!$C$32)</f>
        <v>681.58163132014477</v>
      </c>
      <c r="M10" s="65">
        <f>$B$10*SUM('AEO 2018_Table 24'!N32,'AEO 2018_Table 24'!N27)/SUM('AEO 2018_Table 24'!$C$27,'AEO 2018_Table 24'!$C$32)</f>
        <v>692.06032291154997</v>
      </c>
      <c r="N10" s="65">
        <f>$B$10*SUM('AEO 2018_Table 24'!O32,'AEO 2018_Table 24'!O27)/SUM('AEO 2018_Table 24'!$C$27,'AEO 2018_Table 24'!$C$32)</f>
        <v>702.01251966194127</v>
      </c>
      <c r="O10" s="65">
        <f>$B$10*SUM('AEO 2018_Table 24'!P32,'AEO 2018_Table 24'!P27)/SUM('AEO 2018_Table 24'!$C$27,'AEO 2018_Table 24'!$C$32)</f>
        <v>713.04249499640059</v>
      </c>
      <c r="P10" s="65">
        <f>$B$10*SUM('AEO 2018_Table 24'!Q32,'AEO 2018_Table 24'!Q27)/SUM('AEO 2018_Table 24'!$C$27,'AEO 2018_Table 24'!$C$32)</f>
        <v>724.22460218898618</v>
      </c>
      <c r="Q10" s="65">
        <f>$B$10*SUM('AEO 2018_Table 24'!R32,'AEO 2018_Table 24'!R27)/SUM('AEO 2018_Table 24'!$C$27,'AEO 2018_Table 24'!$C$32)</f>
        <v>735.75198905649029</v>
      </c>
      <c r="R10" s="65">
        <f>$B$10*SUM('AEO 2018_Table 24'!S32,'AEO 2018_Table 24'!S27)/SUM('AEO 2018_Table 24'!$C$27,'AEO 2018_Table 24'!$C$32)</f>
        <v>747.21421893206355</v>
      </c>
      <c r="S10" s="65">
        <f>$B$10*SUM('AEO 2018_Table 24'!T32,'AEO 2018_Table 24'!T27)/SUM('AEO 2018_Table 24'!$C$27,'AEO 2018_Table 24'!$C$32)</f>
        <v>759.12807334422098</v>
      </c>
      <c r="T10" s="65">
        <f>$B$10*SUM('AEO 2018_Table 24'!U32,'AEO 2018_Table 24'!U27)/SUM('AEO 2018_Table 24'!$C$27,'AEO 2018_Table 24'!$C$32)</f>
        <v>771.74227862139674</v>
      </c>
      <c r="U10" s="65">
        <f>$B$10*SUM('AEO 2018_Table 24'!V32,'AEO 2018_Table 24'!V27)/SUM('AEO 2018_Table 24'!$C$27,'AEO 2018_Table 24'!$C$32)</f>
        <v>784.90810876712123</v>
      </c>
      <c r="V10" s="65">
        <f>$B$10*SUM('AEO 2018_Table 24'!W32,'AEO 2018_Table 24'!W27)/SUM('AEO 2018_Table 24'!$C$27,'AEO 2018_Table 24'!$C$32)</f>
        <v>798.9302083986438</v>
      </c>
      <c r="W10" s="65">
        <f>$B$10*SUM('AEO 2018_Table 24'!X32,'AEO 2018_Table 24'!X27)/SUM('AEO 2018_Table 24'!$C$27,'AEO 2018_Table 24'!$C$32)</f>
        <v>812.687204307191</v>
      </c>
      <c r="X10" s="65">
        <f>$B$10*SUM('AEO 2018_Table 24'!Y32,'AEO 2018_Table 24'!Y27)/SUM('AEO 2018_Table 24'!$C$27,'AEO 2018_Table 24'!$C$32)</f>
        <v>826.53967288204888</v>
      </c>
      <c r="Y10" s="65">
        <f>$B$10*SUM('AEO 2018_Table 24'!Z32,'AEO 2018_Table 24'!Z27)/SUM('AEO 2018_Table 24'!$C$27,'AEO 2018_Table 24'!$C$32)</f>
        <v>841.36905610869678</v>
      </c>
      <c r="Z10" s="65">
        <f>$B$10*SUM('AEO 2018_Table 24'!AA32,'AEO 2018_Table 24'!AA27)/SUM('AEO 2018_Table 24'!$C$27,'AEO 2018_Table 24'!$C$32)</f>
        <v>855.72387444633671</v>
      </c>
      <c r="AA10" s="65">
        <f>$B$10*SUM('AEO 2018_Table 24'!AB32,'AEO 2018_Table 24'!AB27)/SUM('AEO 2018_Table 24'!$C$27,'AEO 2018_Table 24'!$C$32)</f>
        <v>869.7109473660181</v>
      </c>
      <c r="AB10" s="65">
        <f>$B$10*SUM('AEO 2018_Table 24'!AC32,'AEO 2018_Table 24'!AC27)/SUM('AEO 2018_Table 24'!$C$27,'AEO 2018_Table 24'!$C$32)</f>
        <v>884.03290844209596</v>
      </c>
      <c r="AC10" s="65">
        <f>$B$10*SUM('AEO 2018_Table 24'!AD32,'AEO 2018_Table 24'!AD27)/SUM('AEO 2018_Table 24'!$C$27,'AEO 2018_Table 24'!$C$32)</f>
        <v>898.63540411356712</v>
      </c>
      <c r="AD10" s="65">
        <f>$B$10*SUM('AEO 2018_Table 24'!AE32,'AEO 2018_Table 24'!AE27)/SUM('AEO 2018_Table 24'!$C$27,'AEO 2018_Table 24'!$C$32)</f>
        <v>913.51868044921684</v>
      </c>
      <c r="AE10" s="65">
        <f>$B$10*SUM('AEO 2018_Table 24'!AF32,'AEO 2018_Table 24'!AF27)/SUM('AEO 2018_Table 24'!$C$27,'AEO 2018_Table 24'!$C$32)</f>
        <v>928.55309155879081</v>
      </c>
      <c r="AF10" s="65">
        <f>$B$10*SUM('AEO 2018_Table 24'!AG32,'AEO 2018_Table 24'!AG27)/SUM('AEO 2018_Table 24'!$C$27,'AEO 2018_Table 24'!$C$32)</f>
        <v>943.5947236074386</v>
      </c>
      <c r="AG10" s="65">
        <f>$B$10*SUM('AEO 2018_Table 24'!AH32,'AEO 2018_Table 24'!AH27)/SUM('AEO 2018_Table 24'!$C$27,'AEO 2018_Table 24'!$C$32)</f>
        <v>959.38747287112813</v>
      </c>
      <c r="AH10" s="65">
        <f>$B$10*SUM('AEO 2018_Table 24'!AI32,'AEO 2018_Table 24'!AI27)/SUM('AEO 2018_Table 24'!$C$27,'AEO 2018_Table 24'!$C$32)</f>
        <v>975.5529981425783</v>
      </c>
      <c r="AI10" s="65">
        <f>$B$10*SUM('AEO 2018_Table 24'!AJ32,'AEO 2018_Table 24'!AJ27)/SUM('AEO 2018_Table 24'!$C$27,'AEO 2018_Table 24'!$C$32)</f>
        <v>992.12681018126898</v>
      </c>
      <c r="AJ10" s="65">
        <f>$B$10*SUM('AEO 2018_Table 24'!AK32,'AEO 2018_Table 24'!AK27)/SUM('AEO 2018_Table 24'!$C$27,'AEO 2018_Table 24'!$C$32)</f>
        <v>1009.1309736044118</v>
      </c>
    </row>
    <row r="11" spans="1:37" x14ac:dyDescent="0.25">
      <c r="A11" t="s">
        <v>789</v>
      </c>
      <c r="B11" s="65">
        <f>F5</f>
        <v>85</v>
      </c>
      <c r="C11" s="65">
        <f t="shared" ref="C11:AJ11" si="1">C10*0.1</f>
        <v>60.86513358921971</v>
      </c>
      <c r="D11" s="65">
        <f t="shared" si="1"/>
        <v>60.452150278980469</v>
      </c>
      <c r="E11" s="65">
        <f t="shared" si="1"/>
        <v>61.159101787485184</v>
      </c>
      <c r="F11" s="65">
        <f t="shared" si="1"/>
        <v>61.973468995077226</v>
      </c>
      <c r="G11" s="65">
        <f t="shared" si="1"/>
        <v>63.013914966826782</v>
      </c>
      <c r="H11" s="65">
        <f t="shared" si="1"/>
        <v>64.127481255736285</v>
      </c>
      <c r="I11" s="65">
        <f t="shared" si="1"/>
        <v>65.152806536570111</v>
      </c>
      <c r="J11" s="65">
        <f t="shared" si="1"/>
        <v>66.186474627891798</v>
      </c>
      <c r="K11" s="65">
        <f t="shared" si="1"/>
        <v>67.16603151910985</v>
      </c>
      <c r="L11" s="65">
        <f t="shared" si="1"/>
        <v>68.158163132014479</v>
      </c>
      <c r="M11" s="65">
        <f t="shared" si="1"/>
        <v>69.206032291154997</v>
      </c>
      <c r="N11" s="65">
        <f t="shared" si="1"/>
        <v>70.201251966194135</v>
      </c>
      <c r="O11" s="65">
        <f t="shared" si="1"/>
        <v>71.304249499640065</v>
      </c>
      <c r="P11" s="65">
        <f t="shared" si="1"/>
        <v>72.422460218898621</v>
      </c>
      <c r="Q11" s="65">
        <f t="shared" si="1"/>
        <v>73.575198905649032</v>
      </c>
      <c r="R11" s="65">
        <f t="shared" si="1"/>
        <v>74.721421893206355</v>
      </c>
      <c r="S11" s="65">
        <f t="shared" si="1"/>
        <v>75.912807334422098</v>
      </c>
      <c r="T11" s="65">
        <f t="shared" si="1"/>
        <v>77.174227862139674</v>
      </c>
      <c r="U11" s="65">
        <f t="shared" si="1"/>
        <v>78.490810876712132</v>
      </c>
      <c r="V11" s="65">
        <f t="shared" si="1"/>
        <v>79.893020839864391</v>
      </c>
      <c r="W11" s="65">
        <f t="shared" si="1"/>
        <v>81.2687204307191</v>
      </c>
      <c r="X11" s="65">
        <f t="shared" si="1"/>
        <v>82.653967288204896</v>
      </c>
      <c r="Y11" s="65">
        <f t="shared" si="1"/>
        <v>84.13690561086969</v>
      </c>
      <c r="Z11" s="65">
        <f t="shared" si="1"/>
        <v>85.572387444633677</v>
      </c>
      <c r="AA11" s="65">
        <f t="shared" si="1"/>
        <v>86.971094736601813</v>
      </c>
      <c r="AB11" s="65">
        <f t="shared" si="1"/>
        <v>88.403290844209607</v>
      </c>
      <c r="AC11" s="65">
        <f t="shared" si="1"/>
        <v>89.863540411356723</v>
      </c>
      <c r="AD11" s="65">
        <f t="shared" si="1"/>
        <v>91.351868044921687</v>
      </c>
      <c r="AE11" s="65">
        <f t="shared" si="1"/>
        <v>92.855309155879084</v>
      </c>
      <c r="AF11" s="65">
        <f t="shared" si="1"/>
        <v>94.359472360743865</v>
      </c>
      <c r="AG11" s="65">
        <f t="shared" si="1"/>
        <v>95.938747287112818</v>
      </c>
      <c r="AH11" s="65">
        <f t="shared" si="1"/>
        <v>97.555299814257836</v>
      </c>
      <c r="AI11" s="65">
        <f t="shared" si="1"/>
        <v>99.212681018126901</v>
      </c>
      <c r="AJ11" s="65">
        <f t="shared" si="1"/>
        <v>100.91309736044118</v>
      </c>
    </row>
    <row r="13" spans="1:37" x14ac:dyDescent="0.25">
      <c r="A13" t="s">
        <v>793</v>
      </c>
      <c r="B13" s="65">
        <f t="shared" ref="B13:AJ13" si="2">B9+B10-B11</f>
        <v>4814</v>
      </c>
      <c r="C13" s="65">
        <f t="shared" si="2"/>
        <v>4760.2862023029766</v>
      </c>
      <c r="D13" s="65">
        <f t="shared" si="2"/>
        <v>4663.0693525108245</v>
      </c>
      <c r="E13" s="65">
        <f t="shared" si="2"/>
        <v>4575.9319160873665</v>
      </c>
      <c r="F13" s="65">
        <f t="shared" si="2"/>
        <v>4489.7612209556946</v>
      </c>
      <c r="G13" s="65">
        <f t="shared" si="2"/>
        <v>4405.6252347014415</v>
      </c>
      <c r="H13" s="65">
        <f t="shared" si="2"/>
        <v>4322.1473313016259</v>
      </c>
      <c r="I13" s="65">
        <f t="shared" si="2"/>
        <v>4237.8752588291309</v>
      </c>
      <c r="J13" s="65">
        <f t="shared" si="2"/>
        <v>4153.6782716510261</v>
      </c>
      <c r="K13" s="65">
        <f t="shared" si="2"/>
        <v>4068.9942836719888</v>
      </c>
      <c r="L13" s="65">
        <f t="shared" si="2"/>
        <v>3984.4234681881303</v>
      </c>
      <c r="M13" s="65">
        <f t="shared" si="2"/>
        <v>3900.3542906203947</v>
      </c>
      <c r="N13" s="65">
        <f t="shared" si="2"/>
        <v>3815.8112676957471</v>
      </c>
      <c r="O13" s="65">
        <f t="shared" si="2"/>
        <v>3732.2382454967606</v>
      </c>
      <c r="P13" s="65">
        <f t="shared" si="2"/>
        <v>3648.8021419700872</v>
      </c>
      <c r="Q13" s="65">
        <f t="shared" si="2"/>
        <v>3565.6767901508415</v>
      </c>
      <c r="R13" s="65">
        <f t="shared" si="2"/>
        <v>3482.4927970388571</v>
      </c>
      <c r="S13" s="65">
        <f t="shared" si="2"/>
        <v>3399.7152660097986</v>
      </c>
      <c r="T13" s="65">
        <f t="shared" si="2"/>
        <v>3317.5680507592569</v>
      </c>
      <c r="U13" s="65">
        <f t="shared" si="2"/>
        <v>3235.9172978904089</v>
      </c>
      <c r="V13" s="65">
        <f t="shared" si="2"/>
        <v>3155.0371875587798</v>
      </c>
      <c r="W13" s="65">
        <f t="shared" si="2"/>
        <v>3073.9184838764718</v>
      </c>
      <c r="X13" s="65">
        <f t="shared" si="2"/>
        <v>2992.8857055938438</v>
      </c>
      <c r="Y13" s="65">
        <f t="shared" si="2"/>
        <v>2912.7321504978272</v>
      </c>
      <c r="Z13" s="65">
        <f t="shared" si="2"/>
        <v>2832.1514870017031</v>
      </c>
      <c r="AA13" s="65">
        <f t="shared" si="2"/>
        <v>2751.239852629416</v>
      </c>
      <c r="AB13" s="65">
        <f t="shared" si="2"/>
        <v>2670.6296175978864</v>
      </c>
      <c r="AC13" s="65">
        <f t="shared" si="2"/>
        <v>2590.2718637022108</v>
      </c>
      <c r="AD13" s="65">
        <f t="shared" si="2"/>
        <v>2510.1668124042953</v>
      </c>
      <c r="AE13" s="65">
        <f t="shared" si="2"/>
        <v>2430.1977824029113</v>
      </c>
      <c r="AF13" s="65">
        <f t="shared" si="2"/>
        <v>2350.2352512466946</v>
      </c>
      <c r="AG13" s="65">
        <f t="shared" si="2"/>
        <v>2270.9487255840154</v>
      </c>
      <c r="AH13" s="65">
        <f t="shared" si="2"/>
        <v>2191.9976983283204</v>
      </c>
      <c r="AI13" s="65">
        <f t="shared" si="2"/>
        <v>2113.4141291631418</v>
      </c>
      <c r="AJ13" s="65">
        <f t="shared" si="2"/>
        <v>2035.2178762439705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84"/>
  <sheetViews>
    <sheetView topLeftCell="A58" workbookViewId="0">
      <selection activeCell="B85" sqref="B85"/>
    </sheetView>
  </sheetViews>
  <sheetFormatPr defaultRowHeight="15" x14ac:dyDescent="0.25"/>
  <cols>
    <col min="1" max="1" width="45.42578125" customWidth="1"/>
    <col min="2" max="2" width="12" bestFit="1" customWidth="1"/>
    <col min="3" max="3" width="10" bestFit="1" customWidth="1"/>
    <col min="8" max="8" width="12" bestFit="1" customWidth="1"/>
  </cols>
  <sheetData>
    <row r="1" spans="1:37" x14ac:dyDescent="0.25">
      <c r="A1" s="55" t="s">
        <v>794</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25">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7" x14ac:dyDescent="0.25">
      <c r="A3" t="s">
        <v>795</v>
      </c>
      <c r="B3">
        <f>'AEO 2018_Table 20'!C54*10^6</f>
        <v>323667725</v>
      </c>
      <c r="C3">
        <f>'AEO 2018_Table 20'!D54*10^6</f>
        <v>325915863</v>
      </c>
      <c r="D3">
        <f>'AEO 2018_Table 20'!E54*10^6</f>
        <v>328517517</v>
      </c>
      <c r="E3">
        <f>'AEO 2018_Table 20'!F54*10^6</f>
        <v>331144135</v>
      </c>
      <c r="F3">
        <f>'AEO 2018_Table 20'!G54*10^6</f>
        <v>333761902</v>
      </c>
      <c r="G3">
        <f>'AEO 2018_Table 20'!H54*10^6</f>
        <v>336365417</v>
      </c>
      <c r="H3">
        <f>'AEO 2018_Table 20'!I54*10^6</f>
        <v>338952057</v>
      </c>
      <c r="I3">
        <f>'AEO 2018_Table 20'!J54*10^6</f>
        <v>341518585</v>
      </c>
      <c r="J3">
        <f>'AEO 2018_Table 20'!K54*10^6</f>
        <v>344062317</v>
      </c>
      <c r="K3">
        <f>'AEO 2018_Table 20'!L54*10^6</f>
        <v>346579285</v>
      </c>
      <c r="L3">
        <f>'AEO 2018_Table 20'!M54*10^6</f>
        <v>349068634</v>
      </c>
      <c r="M3">
        <f>'AEO 2018_Table 20'!N54*10^6</f>
        <v>351521210</v>
      </c>
      <c r="N3">
        <f>'AEO 2018_Table 20'!O54*10^6</f>
        <v>353934662</v>
      </c>
      <c r="O3">
        <f>'AEO 2018_Table 20'!P54*10^6</f>
        <v>356305084</v>
      </c>
      <c r="P3">
        <f>'AEO 2018_Table 20'!Q54*10^6</f>
        <v>358630157</v>
      </c>
      <c r="Q3">
        <f>'AEO 2018_Table 20'!R54*10^6</f>
        <v>360908234</v>
      </c>
      <c r="R3">
        <f>'AEO 2018_Table 20'!S54*10^6</f>
        <v>363138489</v>
      </c>
      <c r="S3">
        <f>'AEO 2018_Table 20'!T54*10^6</f>
        <v>365320801</v>
      </c>
      <c r="T3">
        <f>'AEO 2018_Table 20'!U54*10^6</f>
        <v>367455505</v>
      </c>
      <c r="U3">
        <f>'AEO 2018_Table 20'!V54*10^6</f>
        <v>369544342</v>
      </c>
      <c r="V3">
        <f>'AEO 2018_Table 20'!W54*10^6</f>
        <v>371592224</v>
      </c>
      <c r="W3">
        <f>'AEO 2018_Table 20'!X54*10^6</f>
        <v>373600464</v>
      </c>
      <c r="X3">
        <f>'AEO 2018_Table 20'!Y54*10^6</f>
        <v>375571045</v>
      </c>
      <c r="Y3">
        <f>'AEO 2018_Table 20'!Z54*10^6</f>
        <v>377506500</v>
      </c>
      <c r="Z3">
        <f>'AEO 2018_Table 20'!AA54*10^6</f>
        <v>379410187</v>
      </c>
      <c r="AA3">
        <f>'AEO 2018_Table 20'!AB54*10^6</f>
        <v>381285461</v>
      </c>
      <c r="AB3">
        <f>'AEO 2018_Table 20'!AC54*10^6</f>
        <v>383136169</v>
      </c>
      <c r="AC3">
        <f>'AEO 2018_Table 20'!AD54*10^6</f>
        <v>384966003</v>
      </c>
      <c r="AD3">
        <f>'AEO 2018_Table 20'!AE54*10^6</f>
        <v>386779297</v>
      </c>
      <c r="AE3">
        <f>'AEO 2018_Table 20'!AF54*10^6</f>
        <v>388580353</v>
      </c>
      <c r="AF3">
        <f>'AEO 2018_Table 20'!AG54*10^6</f>
        <v>390374603</v>
      </c>
      <c r="AG3">
        <f>'AEO 2018_Table 20'!AH54*10^6</f>
        <v>392164795</v>
      </c>
      <c r="AH3">
        <f>'AEO 2018_Table 20'!AI54*10^6</f>
        <v>393950500</v>
      </c>
      <c r="AI3">
        <f>'AEO 2018_Table 20'!AJ54*10^6</f>
        <v>395735260</v>
      </c>
      <c r="AJ3">
        <f>'AEO 2018_Table 20'!AK54*10^6</f>
        <v>397524506</v>
      </c>
    </row>
    <row r="5" spans="1:37" x14ac:dyDescent="0.25">
      <c r="A5" s="73" t="s">
        <v>801</v>
      </c>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row>
    <row r="6" spans="1:37" x14ac:dyDescent="0.25">
      <c r="A6" s="55" t="s">
        <v>797</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25">
      <c r="A7" s="61" t="s">
        <v>796</v>
      </c>
      <c r="B7" s="95">
        <v>0.19</v>
      </c>
    </row>
    <row r="8" spans="1:37" x14ac:dyDescent="0.25">
      <c r="A8" t="s">
        <v>798</v>
      </c>
      <c r="B8">
        <v>10.7</v>
      </c>
    </row>
    <row r="10" spans="1:37" x14ac:dyDescent="0.25">
      <c r="A10" s="55" t="s">
        <v>750</v>
      </c>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row>
    <row r="11" spans="1:37" x14ac:dyDescent="0.25">
      <c r="B11">
        <v>2016</v>
      </c>
      <c r="C11">
        <v>2017</v>
      </c>
      <c r="D11">
        <v>2018</v>
      </c>
      <c r="E11">
        <v>2019</v>
      </c>
      <c r="F11">
        <v>2020</v>
      </c>
      <c r="G11">
        <v>2021</v>
      </c>
      <c r="H11">
        <v>2022</v>
      </c>
      <c r="I11">
        <v>2023</v>
      </c>
      <c r="J11">
        <v>2024</v>
      </c>
      <c r="K11">
        <v>2025</v>
      </c>
      <c r="L11">
        <v>2026</v>
      </c>
      <c r="M11">
        <v>2027</v>
      </c>
      <c r="N11">
        <v>2028</v>
      </c>
      <c r="O11">
        <v>2029</v>
      </c>
      <c r="P11">
        <v>2030</v>
      </c>
      <c r="Q11">
        <v>2031</v>
      </c>
      <c r="R11">
        <v>2032</v>
      </c>
      <c r="S11">
        <v>2033</v>
      </c>
      <c r="T11">
        <v>2034</v>
      </c>
      <c r="U11">
        <v>2035</v>
      </c>
      <c r="V11">
        <v>2036</v>
      </c>
      <c r="W11">
        <v>2037</v>
      </c>
      <c r="X11">
        <v>2038</v>
      </c>
      <c r="Y11">
        <v>2039</v>
      </c>
      <c r="Z11">
        <v>2040</v>
      </c>
      <c r="AA11">
        <v>2041</v>
      </c>
      <c r="AB11">
        <v>2042</v>
      </c>
      <c r="AC11">
        <v>2043</v>
      </c>
      <c r="AD11">
        <v>2044</v>
      </c>
      <c r="AE11">
        <v>2045</v>
      </c>
      <c r="AF11">
        <v>2046</v>
      </c>
      <c r="AG11">
        <v>2047</v>
      </c>
      <c r="AH11">
        <v>2048</v>
      </c>
      <c r="AI11">
        <v>2049</v>
      </c>
      <c r="AJ11">
        <v>2050</v>
      </c>
    </row>
    <row r="12" spans="1:37" x14ac:dyDescent="0.25">
      <c r="A12" t="s">
        <v>791</v>
      </c>
      <c r="B12">
        <f t="shared" ref="B12:AJ12" si="0">B3*$B$7*$B$8*365/10^9</f>
        <v>240.17601699762497</v>
      </c>
      <c r="C12">
        <f t="shared" si="0"/>
        <v>241.844236559835</v>
      </c>
      <c r="D12">
        <f t="shared" si="0"/>
        <v>243.77478090226498</v>
      </c>
      <c r="E12">
        <f t="shared" si="0"/>
        <v>245.72384965607498</v>
      </c>
      <c r="F12">
        <f t="shared" si="0"/>
        <v>247.66635056959004</v>
      </c>
      <c r="G12">
        <f t="shared" si="0"/>
        <v>249.598275857765</v>
      </c>
      <c r="H12">
        <f t="shared" si="0"/>
        <v>251.51767913656496</v>
      </c>
      <c r="I12">
        <f t="shared" si="0"/>
        <v>253.42215840632497</v>
      </c>
      <c r="J12">
        <f t="shared" si="0"/>
        <v>255.30972201826498</v>
      </c>
      <c r="K12">
        <f t="shared" si="0"/>
        <v>257.177425537825</v>
      </c>
      <c r="L12">
        <f t="shared" si="0"/>
        <v>259.02463451652994</v>
      </c>
      <c r="M12">
        <f t="shared" si="0"/>
        <v>260.84455627444999</v>
      </c>
      <c r="N12">
        <f t="shared" si="0"/>
        <v>262.63544626378996</v>
      </c>
      <c r="O12">
        <f t="shared" si="0"/>
        <v>264.39440605677993</v>
      </c>
      <c r="P12">
        <f t="shared" si="0"/>
        <v>266.11971485106494</v>
      </c>
      <c r="Q12">
        <f t="shared" si="0"/>
        <v>267.81015049852999</v>
      </c>
      <c r="R12">
        <f t="shared" si="0"/>
        <v>269.46510007000495</v>
      </c>
      <c r="S12">
        <f t="shared" si="0"/>
        <v>271.08447377804498</v>
      </c>
      <c r="T12">
        <f t="shared" si="0"/>
        <v>272.66852020772495</v>
      </c>
      <c r="U12">
        <f t="shared" si="0"/>
        <v>274.21853125939003</v>
      </c>
      <c r="V12">
        <f t="shared" si="0"/>
        <v>275.73815185807996</v>
      </c>
      <c r="W12">
        <f t="shared" si="0"/>
        <v>277.22835630887994</v>
      </c>
      <c r="X12">
        <f t="shared" si="0"/>
        <v>278.69061608702498</v>
      </c>
      <c r="Y12">
        <f t="shared" si="0"/>
        <v>280.12681079250001</v>
      </c>
      <c r="Z12">
        <f t="shared" si="0"/>
        <v>281.53943221241497</v>
      </c>
      <c r="AA12">
        <f t="shared" si="0"/>
        <v>282.93096990774501</v>
      </c>
      <c r="AB12">
        <f t="shared" si="0"/>
        <v>284.30427852560496</v>
      </c>
      <c r="AC12">
        <f t="shared" si="0"/>
        <v>285.66209769613499</v>
      </c>
      <c r="AD12">
        <f t="shared" si="0"/>
        <v>287.00764344236501</v>
      </c>
      <c r="AE12">
        <f t="shared" si="0"/>
        <v>288.34410804188502</v>
      </c>
      <c r="AF12">
        <f t="shared" si="0"/>
        <v>289.67552228313502</v>
      </c>
      <c r="AG12">
        <f t="shared" si="0"/>
        <v>291.00392530577494</v>
      </c>
      <c r="AH12">
        <f t="shared" si="0"/>
        <v>292.32899877249997</v>
      </c>
      <c r="AI12">
        <f t="shared" si="0"/>
        <v>293.65337100670001</v>
      </c>
      <c r="AJ12">
        <f t="shared" si="0"/>
        <v>294.98107205476998</v>
      </c>
    </row>
    <row r="14" spans="1:37" x14ac:dyDescent="0.25">
      <c r="A14" s="73" t="s">
        <v>802</v>
      </c>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row>
    <row r="15" spans="1:37" x14ac:dyDescent="0.25">
      <c r="A15" s="55" t="s">
        <v>781</v>
      </c>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row>
    <row r="16" spans="1:37" x14ac:dyDescent="0.25">
      <c r="B16">
        <v>2016</v>
      </c>
      <c r="C16">
        <v>2017</v>
      </c>
      <c r="D16">
        <v>2018</v>
      </c>
      <c r="E16">
        <v>2019</v>
      </c>
      <c r="F16">
        <v>2020</v>
      </c>
      <c r="G16">
        <v>2021</v>
      </c>
      <c r="H16">
        <v>2022</v>
      </c>
      <c r="I16">
        <v>2023</v>
      </c>
      <c r="J16">
        <v>2024</v>
      </c>
      <c r="K16">
        <v>2025</v>
      </c>
      <c r="L16">
        <v>2026</v>
      </c>
      <c r="M16">
        <v>2027</v>
      </c>
      <c r="N16">
        <v>2028</v>
      </c>
      <c r="O16">
        <v>2029</v>
      </c>
      <c r="P16">
        <v>2030</v>
      </c>
      <c r="Q16">
        <v>2031</v>
      </c>
      <c r="R16">
        <v>2032</v>
      </c>
      <c r="S16">
        <v>2033</v>
      </c>
      <c r="T16">
        <v>2034</v>
      </c>
      <c r="U16">
        <v>2035</v>
      </c>
      <c r="V16">
        <v>2036</v>
      </c>
      <c r="W16">
        <v>2037</v>
      </c>
      <c r="X16">
        <v>2038</v>
      </c>
      <c r="Y16">
        <v>2039</v>
      </c>
      <c r="Z16">
        <v>2040</v>
      </c>
      <c r="AA16">
        <v>2041</v>
      </c>
      <c r="AB16">
        <v>2042</v>
      </c>
      <c r="AC16">
        <v>2043</v>
      </c>
      <c r="AD16">
        <v>2044</v>
      </c>
      <c r="AE16">
        <v>2045</v>
      </c>
      <c r="AF16">
        <v>2046</v>
      </c>
      <c r="AG16">
        <v>2047</v>
      </c>
      <c r="AH16">
        <v>2048</v>
      </c>
      <c r="AI16">
        <v>2049</v>
      </c>
      <c r="AJ16">
        <v>2050</v>
      </c>
    </row>
    <row r="17" spans="1:37" x14ac:dyDescent="0.25">
      <c r="A17" t="s">
        <v>1731</v>
      </c>
      <c r="B17" s="101">
        <f>2.7/'Cross-Page Data'!$D$12*1000</f>
        <v>108.00000000000001</v>
      </c>
      <c r="C17" s="101">
        <f t="shared" ref="C17:AJ17" si="1">B17*C3/B3</f>
        <v>108.75014864086312</v>
      </c>
      <c r="D17" s="101">
        <f t="shared" si="1"/>
        <v>109.61825692073562</v>
      </c>
      <c r="E17" s="101">
        <f t="shared" si="1"/>
        <v>110.49469507656349</v>
      </c>
      <c r="F17" s="101">
        <f t="shared" si="1"/>
        <v>111.36817987026666</v>
      </c>
      <c r="G17" s="101">
        <f t="shared" si="1"/>
        <v>112.23690912030233</v>
      </c>
      <c r="H17" s="101">
        <f t="shared" si="1"/>
        <v>113.10000759575274</v>
      </c>
      <c r="I17" s="101">
        <f t="shared" si="1"/>
        <v>113.95639518892411</v>
      </c>
      <c r="J17" s="101">
        <f t="shared" si="1"/>
        <v>114.80517631469127</v>
      </c>
      <c r="K17" s="101">
        <f t="shared" si="1"/>
        <v>115.64502694854733</v>
      </c>
      <c r="L17" s="101">
        <f t="shared" si="1"/>
        <v>116.47566179791329</v>
      </c>
      <c r="M17" s="101">
        <f t="shared" si="1"/>
        <v>117.29402639697859</v>
      </c>
      <c r="N17" s="101">
        <f t="shared" si="1"/>
        <v>118.09933627456986</v>
      </c>
      <c r="O17" s="101">
        <f t="shared" si="1"/>
        <v>118.89028809406314</v>
      </c>
      <c r="P17" s="101">
        <f t="shared" si="1"/>
        <v>119.66610806190208</v>
      </c>
      <c r="Q17" s="101">
        <f t="shared" si="1"/>
        <v>120.42624661448713</v>
      </c>
      <c r="R17" s="101">
        <f t="shared" si="1"/>
        <v>121.17042813582974</v>
      </c>
      <c r="S17" s="101">
        <f t="shared" si="1"/>
        <v>121.89861225119063</v>
      </c>
      <c r="T17" s="101">
        <f t="shared" si="1"/>
        <v>122.6109107418727</v>
      </c>
      <c r="U17" s="101">
        <f t="shared" si="1"/>
        <v>123.30790453697537</v>
      </c>
      <c r="V17" s="101">
        <f t="shared" si="1"/>
        <v>123.99123265070682</v>
      </c>
      <c r="W17" s="101">
        <f t="shared" si="1"/>
        <v>124.66133319903921</v>
      </c>
      <c r="X17" s="101">
        <f t="shared" si="1"/>
        <v>125.31886786055048</v>
      </c>
      <c r="Y17" s="101">
        <f t="shared" si="1"/>
        <v>125.96468183536061</v>
      </c>
      <c r="Z17" s="101">
        <f t="shared" si="1"/>
        <v>126.59989560590262</v>
      </c>
      <c r="AA17" s="101">
        <f t="shared" si="1"/>
        <v>127.22562865358292</v>
      </c>
      <c r="AB17" s="101">
        <f t="shared" si="1"/>
        <v>127.84316462816919</v>
      </c>
      <c r="AC17" s="101">
        <f t="shared" si="1"/>
        <v>128.45373545972183</v>
      </c>
      <c r="AD17" s="101">
        <f t="shared" si="1"/>
        <v>129.05878729799207</v>
      </c>
      <c r="AE17" s="101">
        <f t="shared" si="1"/>
        <v>129.65975561511422</v>
      </c>
      <c r="AF17" s="101">
        <f t="shared" si="1"/>
        <v>130.2584529365725</v>
      </c>
      <c r="AG17" s="101">
        <f t="shared" si="1"/>
        <v>130.85579620272608</v>
      </c>
      <c r="AH17" s="101">
        <f t="shared" si="1"/>
        <v>131.45164226677218</v>
      </c>
      <c r="AI17" s="101">
        <f t="shared" si="1"/>
        <v>132.0471730074415</v>
      </c>
      <c r="AJ17" s="101">
        <f t="shared" si="1"/>
        <v>132.64420061654278</v>
      </c>
    </row>
    <row r="19" spans="1:37" x14ac:dyDescent="0.25">
      <c r="A19" s="73" t="s">
        <v>803</v>
      </c>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row>
    <row r="20" spans="1:37" x14ac:dyDescent="0.25">
      <c r="A20" s="55" t="s">
        <v>781</v>
      </c>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row>
    <row r="21" spans="1:37" x14ac:dyDescent="0.25">
      <c r="B21">
        <v>2016</v>
      </c>
      <c r="C21">
        <v>2017</v>
      </c>
      <c r="D21">
        <v>2018</v>
      </c>
      <c r="E21">
        <v>2019</v>
      </c>
      <c r="F21">
        <v>2020</v>
      </c>
      <c r="G21">
        <v>2021</v>
      </c>
      <c r="H21">
        <v>2022</v>
      </c>
      <c r="I21">
        <v>2023</v>
      </c>
      <c r="J21">
        <v>2024</v>
      </c>
      <c r="K21">
        <v>2025</v>
      </c>
      <c r="L21">
        <v>2026</v>
      </c>
      <c r="M21">
        <v>2027</v>
      </c>
      <c r="N21">
        <v>2028</v>
      </c>
      <c r="O21">
        <v>2029</v>
      </c>
      <c r="P21">
        <v>2030</v>
      </c>
      <c r="Q21">
        <v>2031</v>
      </c>
      <c r="R21">
        <v>2032</v>
      </c>
      <c r="S21">
        <v>2033</v>
      </c>
      <c r="T21">
        <v>2034</v>
      </c>
      <c r="U21">
        <v>2035</v>
      </c>
      <c r="V21">
        <v>2036</v>
      </c>
      <c r="W21">
        <v>2037</v>
      </c>
      <c r="X21">
        <v>2038</v>
      </c>
      <c r="Y21">
        <v>2039</v>
      </c>
      <c r="Z21">
        <v>2040</v>
      </c>
      <c r="AA21">
        <v>2041</v>
      </c>
      <c r="AB21">
        <v>2042</v>
      </c>
      <c r="AC21">
        <v>2043</v>
      </c>
      <c r="AD21">
        <v>2044</v>
      </c>
      <c r="AE21">
        <v>2045</v>
      </c>
      <c r="AF21">
        <v>2046</v>
      </c>
      <c r="AG21">
        <v>2047</v>
      </c>
      <c r="AH21">
        <v>2048</v>
      </c>
      <c r="AI21">
        <v>2049</v>
      </c>
      <c r="AJ21">
        <v>2050</v>
      </c>
    </row>
    <row r="22" spans="1:37" x14ac:dyDescent="0.25">
      <c r="A22" t="s">
        <v>1731</v>
      </c>
      <c r="B22" s="102">
        <f>0.2/'Cross-Page Data'!$D$12*1000</f>
        <v>8</v>
      </c>
      <c r="C22" s="102">
        <f t="shared" ref="C22:AJ22" si="2">B22*C3/B3</f>
        <v>8.0555665659898583</v>
      </c>
      <c r="D22" s="102">
        <f t="shared" si="2"/>
        <v>8.1198708830174517</v>
      </c>
      <c r="E22" s="102">
        <f t="shared" si="2"/>
        <v>8.1847922278935901</v>
      </c>
      <c r="F22" s="102">
        <f t="shared" si="2"/>
        <v>8.2494948052049359</v>
      </c>
      <c r="G22" s="102">
        <f t="shared" si="2"/>
        <v>8.3138451200223926</v>
      </c>
      <c r="H22" s="102">
        <f t="shared" si="2"/>
        <v>8.3777783404261275</v>
      </c>
      <c r="I22" s="102">
        <f t="shared" si="2"/>
        <v>8.4412144584388216</v>
      </c>
      <c r="J22" s="102">
        <f t="shared" si="2"/>
        <v>8.5040871344215763</v>
      </c>
      <c r="K22" s="102">
        <f t="shared" si="2"/>
        <v>8.5662982924849889</v>
      </c>
      <c r="L22" s="102">
        <f t="shared" si="2"/>
        <v>8.6278267998454314</v>
      </c>
      <c r="M22" s="102">
        <f t="shared" si="2"/>
        <v>8.6884463997761934</v>
      </c>
      <c r="N22" s="102">
        <f t="shared" si="2"/>
        <v>8.7480989833014746</v>
      </c>
      <c r="O22" s="102">
        <f t="shared" si="2"/>
        <v>8.8066880069676436</v>
      </c>
      <c r="P22" s="102">
        <f t="shared" si="2"/>
        <v>8.8641561527334911</v>
      </c>
      <c r="Q22" s="102">
        <f t="shared" si="2"/>
        <v>8.9204627121842375</v>
      </c>
      <c r="R22" s="102">
        <f t="shared" si="2"/>
        <v>8.9755872693207266</v>
      </c>
      <c r="S22" s="102">
        <f t="shared" si="2"/>
        <v>9.0295268334215351</v>
      </c>
      <c r="T22" s="102">
        <f t="shared" si="2"/>
        <v>9.08228968458317</v>
      </c>
      <c r="U22" s="102">
        <f t="shared" si="2"/>
        <v>9.1339188545907763</v>
      </c>
      <c r="V22" s="102">
        <f t="shared" si="2"/>
        <v>9.1845357519042174</v>
      </c>
      <c r="W22" s="102">
        <f t="shared" si="2"/>
        <v>9.2341728295584691</v>
      </c>
      <c r="X22" s="102">
        <f t="shared" si="2"/>
        <v>9.2828791007815266</v>
      </c>
      <c r="Y22" s="102">
        <f t="shared" si="2"/>
        <v>9.3307171729896847</v>
      </c>
      <c r="Z22" s="102">
        <f t="shared" si="2"/>
        <v>9.3777700448816841</v>
      </c>
      <c r="AA22" s="102">
        <f t="shared" si="2"/>
        <v>9.4241206410061515</v>
      </c>
      <c r="AB22" s="102">
        <f t="shared" si="2"/>
        <v>9.4698640465310611</v>
      </c>
      <c r="AC22" s="102">
        <f t="shared" si="2"/>
        <v>9.5150915155349605</v>
      </c>
      <c r="AD22" s="102">
        <f t="shared" si="2"/>
        <v>9.5599101702216451</v>
      </c>
      <c r="AE22" s="102">
        <f t="shared" si="2"/>
        <v>9.6044263418603215</v>
      </c>
      <c r="AF22" s="102">
        <f t="shared" si="2"/>
        <v>9.648774291597972</v>
      </c>
      <c r="AG22" s="102">
        <f t="shared" si="2"/>
        <v>9.6930219409426819</v>
      </c>
      <c r="AH22" s="102">
        <f t="shared" si="2"/>
        <v>9.737158686427577</v>
      </c>
      <c r="AI22" s="102">
        <f t="shared" si="2"/>
        <v>9.7812720746253028</v>
      </c>
      <c r="AJ22" s="102">
        <f t="shared" si="2"/>
        <v>9.8254963419661383</v>
      </c>
    </row>
    <row r="25" spans="1:37" x14ac:dyDescent="0.25">
      <c r="A25" s="73" t="s">
        <v>804</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row>
    <row r="26" spans="1:37" x14ac:dyDescent="0.25">
      <c r="A26" s="55" t="s">
        <v>797</v>
      </c>
      <c r="B26" s="55"/>
      <c r="C26" s="55"/>
      <c r="D26" s="55"/>
      <c r="E26" s="55"/>
      <c r="F26" s="55"/>
      <c r="G26" s="58"/>
    </row>
    <row r="27" spans="1:37" x14ac:dyDescent="0.25">
      <c r="A27" t="s">
        <v>814</v>
      </c>
      <c r="B27">
        <v>0.16</v>
      </c>
    </row>
    <row r="28" spans="1:37" x14ac:dyDescent="0.25">
      <c r="A28" t="s">
        <v>815</v>
      </c>
      <c r="B28">
        <v>1.2</v>
      </c>
    </row>
    <row r="29" spans="1:37" x14ac:dyDescent="0.25">
      <c r="A29" t="s">
        <v>816</v>
      </c>
      <c r="B29">
        <v>1.25</v>
      </c>
    </row>
    <row r="30" spans="1:37" x14ac:dyDescent="0.25">
      <c r="A30" t="s">
        <v>818</v>
      </c>
      <c r="B30">
        <v>5.0000000000000001E-3</v>
      </c>
    </row>
    <row r="33" spans="1:36" x14ac:dyDescent="0.25">
      <c r="A33" s="55" t="s">
        <v>805</v>
      </c>
      <c r="B33" s="55"/>
      <c r="C33" s="55"/>
      <c r="D33" s="55"/>
      <c r="E33" s="55"/>
      <c r="F33" s="55"/>
      <c r="G33" s="58"/>
    </row>
    <row r="34" spans="1:36" x14ac:dyDescent="0.25">
      <c r="A34" t="s">
        <v>240</v>
      </c>
      <c r="B34" t="s">
        <v>799</v>
      </c>
      <c r="C34" t="s">
        <v>806</v>
      </c>
      <c r="D34" t="s">
        <v>807</v>
      </c>
      <c r="E34" t="s">
        <v>808</v>
      </c>
      <c r="F34" t="s">
        <v>809</v>
      </c>
      <c r="G34" t="s">
        <v>810</v>
      </c>
    </row>
    <row r="35" spans="1:36" x14ac:dyDescent="0.25">
      <c r="A35">
        <v>2011</v>
      </c>
      <c r="B35">
        <v>316</v>
      </c>
      <c r="C35">
        <v>21.3</v>
      </c>
      <c r="D35">
        <v>80.599999999999994</v>
      </c>
      <c r="E35">
        <v>45</v>
      </c>
      <c r="F35">
        <v>34.700000000000003</v>
      </c>
      <c r="G35">
        <v>279.5</v>
      </c>
    </row>
    <row r="36" spans="1:36" x14ac:dyDescent="0.25">
      <c r="A36">
        <v>2012</v>
      </c>
      <c r="B36">
        <v>318</v>
      </c>
      <c r="C36">
        <v>21.3</v>
      </c>
      <c r="D36">
        <v>81</v>
      </c>
      <c r="E36">
        <v>45.1</v>
      </c>
      <c r="F36">
        <v>34.700000000000003</v>
      </c>
      <c r="G36">
        <v>282.60000000000002</v>
      </c>
    </row>
    <row r="37" spans="1:36" x14ac:dyDescent="0.25">
      <c r="A37">
        <v>2013</v>
      </c>
      <c r="B37">
        <v>321</v>
      </c>
      <c r="C37">
        <v>19.8</v>
      </c>
      <c r="D37">
        <v>81.400000000000006</v>
      </c>
      <c r="E37">
        <v>45.1</v>
      </c>
      <c r="F37">
        <v>34.799999999999997</v>
      </c>
      <c r="G37">
        <v>285.60000000000002</v>
      </c>
    </row>
    <row r="38" spans="1:36" x14ac:dyDescent="0.25">
      <c r="A38">
        <v>2014</v>
      </c>
      <c r="B38">
        <v>323</v>
      </c>
      <c r="C38">
        <v>20.8</v>
      </c>
      <c r="D38">
        <v>81.099999999999994</v>
      </c>
      <c r="E38">
        <v>45.2</v>
      </c>
      <c r="F38">
        <v>34.799999999999997</v>
      </c>
      <c r="G38">
        <v>288.7</v>
      </c>
    </row>
    <row r="39" spans="1:36" x14ac:dyDescent="0.25">
      <c r="A39">
        <v>2015</v>
      </c>
      <c r="B39">
        <v>325</v>
      </c>
      <c r="C39">
        <v>21.8</v>
      </c>
      <c r="D39">
        <v>81.400000000000006</v>
      </c>
      <c r="E39">
        <v>45.2</v>
      </c>
      <c r="F39">
        <v>34.9</v>
      </c>
      <c r="G39">
        <v>291.8</v>
      </c>
    </row>
    <row r="40" spans="1:36" x14ac:dyDescent="0.25">
      <c r="A40">
        <v>2016</v>
      </c>
      <c r="B40">
        <v>328</v>
      </c>
      <c r="C40">
        <v>22.8</v>
      </c>
      <c r="D40">
        <v>81.400000000000006</v>
      </c>
      <c r="E40">
        <v>44.7</v>
      </c>
      <c r="F40">
        <v>34.5</v>
      </c>
      <c r="G40">
        <v>294.8</v>
      </c>
    </row>
    <row r="42" spans="1:36" x14ac:dyDescent="0.25">
      <c r="A42" t="s">
        <v>811</v>
      </c>
      <c r="B42">
        <v>2016</v>
      </c>
      <c r="C42">
        <v>2017</v>
      </c>
      <c r="D42">
        <v>2018</v>
      </c>
      <c r="E42">
        <v>2019</v>
      </c>
      <c r="F42">
        <v>2020</v>
      </c>
      <c r="G42">
        <v>2021</v>
      </c>
      <c r="H42">
        <v>2022</v>
      </c>
      <c r="I42">
        <v>2023</v>
      </c>
      <c r="J42">
        <v>2024</v>
      </c>
      <c r="K42">
        <v>2025</v>
      </c>
      <c r="L42">
        <v>2026</v>
      </c>
      <c r="M42">
        <v>2027</v>
      </c>
      <c r="N42">
        <v>2028</v>
      </c>
      <c r="O42">
        <v>2029</v>
      </c>
      <c r="P42">
        <v>2030</v>
      </c>
      <c r="Q42">
        <v>2031</v>
      </c>
      <c r="R42">
        <v>2032</v>
      </c>
      <c r="S42">
        <v>2033</v>
      </c>
      <c r="T42">
        <v>2034</v>
      </c>
      <c r="U42">
        <v>2035</v>
      </c>
      <c r="V42">
        <v>2036</v>
      </c>
      <c r="W42">
        <v>2037</v>
      </c>
      <c r="X42">
        <v>2038</v>
      </c>
      <c r="Y42">
        <v>2039</v>
      </c>
      <c r="Z42">
        <v>2040</v>
      </c>
      <c r="AA42">
        <v>2041</v>
      </c>
      <c r="AB42">
        <v>2042</v>
      </c>
      <c r="AC42">
        <v>2043</v>
      </c>
      <c r="AD42">
        <v>2044</v>
      </c>
      <c r="AE42">
        <v>2045</v>
      </c>
      <c r="AF42">
        <v>2046</v>
      </c>
      <c r="AG42">
        <v>2047</v>
      </c>
      <c r="AH42">
        <v>2048</v>
      </c>
      <c r="AI42">
        <v>2049</v>
      </c>
      <c r="AJ42">
        <v>2050</v>
      </c>
    </row>
    <row r="43" spans="1:36" x14ac:dyDescent="0.25">
      <c r="A43" t="s">
        <v>800</v>
      </c>
      <c r="B43">
        <f>B40</f>
        <v>328</v>
      </c>
      <c r="C43">
        <f>C3/10^6</f>
        <v>325.915863</v>
      </c>
      <c r="D43">
        <f t="shared" ref="D43:AJ43" si="3">D3/10^6</f>
        <v>328.517517</v>
      </c>
      <c r="E43">
        <f t="shared" si="3"/>
        <v>331.14413500000001</v>
      </c>
      <c r="F43">
        <f t="shared" si="3"/>
        <v>333.76190200000002</v>
      </c>
      <c r="G43">
        <f t="shared" si="3"/>
        <v>336.36541699999998</v>
      </c>
      <c r="H43">
        <f t="shared" si="3"/>
        <v>338.95205700000002</v>
      </c>
      <c r="I43">
        <f t="shared" si="3"/>
        <v>341.51858499999997</v>
      </c>
      <c r="J43">
        <f t="shared" si="3"/>
        <v>344.06231700000001</v>
      </c>
      <c r="K43">
        <f t="shared" si="3"/>
        <v>346.57928500000003</v>
      </c>
      <c r="L43">
        <f t="shared" si="3"/>
        <v>349.06863399999997</v>
      </c>
      <c r="M43">
        <f t="shared" si="3"/>
        <v>351.52121</v>
      </c>
      <c r="N43">
        <f t="shared" si="3"/>
        <v>353.934662</v>
      </c>
      <c r="O43">
        <f t="shared" si="3"/>
        <v>356.30508400000002</v>
      </c>
      <c r="P43">
        <f t="shared" si="3"/>
        <v>358.630157</v>
      </c>
      <c r="Q43">
        <f t="shared" si="3"/>
        <v>360.90823399999999</v>
      </c>
      <c r="R43">
        <f t="shared" si="3"/>
        <v>363.13848899999999</v>
      </c>
      <c r="S43">
        <f t="shared" si="3"/>
        <v>365.32080100000002</v>
      </c>
      <c r="T43">
        <f t="shared" si="3"/>
        <v>367.45550500000002</v>
      </c>
      <c r="U43">
        <f t="shared" si="3"/>
        <v>369.54434199999997</v>
      </c>
      <c r="V43">
        <f t="shared" si="3"/>
        <v>371.59222399999999</v>
      </c>
      <c r="W43">
        <f t="shared" si="3"/>
        <v>373.60046399999999</v>
      </c>
      <c r="X43">
        <f t="shared" si="3"/>
        <v>375.57104500000003</v>
      </c>
      <c r="Y43">
        <f t="shared" si="3"/>
        <v>377.50650000000002</v>
      </c>
      <c r="Z43">
        <f t="shared" si="3"/>
        <v>379.41018700000001</v>
      </c>
      <c r="AA43">
        <f t="shared" si="3"/>
        <v>381.285461</v>
      </c>
      <c r="AB43">
        <f t="shared" si="3"/>
        <v>383.136169</v>
      </c>
      <c r="AC43">
        <f t="shared" si="3"/>
        <v>384.966003</v>
      </c>
      <c r="AD43">
        <f t="shared" si="3"/>
        <v>386.77929699999999</v>
      </c>
      <c r="AE43">
        <f t="shared" si="3"/>
        <v>388.580353</v>
      </c>
      <c r="AF43">
        <f t="shared" si="3"/>
        <v>390.37460299999998</v>
      </c>
      <c r="AG43">
        <f t="shared" si="3"/>
        <v>392.16479500000003</v>
      </c>
      <c r="AH43">
        <f t="shared" si="3"/>
        <v>393.95049999999998</v>
      </c>
      <c r="AI43">
        <f t="shared" si="3"/>
        <v>395.73525999999998</v>
      </c>
      <c r="AJ43">
        <f t="shared" si="3"/>
        <v>397.52450599999997</v>
      </c>
    </row>
    <row r="44" spans="1:36" x14ac:dyDescent="0.25">
      <c r="A44" t="s">
        <v>817</v>
      </c>
      <c r="B44">
        <f>C40</f>
        <v>22.8</v>
      </c>
      <c r="C44">
        <f>($C$40-$C$35)/5+B44</f>
        <v>23.1</v>
      </c>
      <c r="D44">
        <f t="shared" ref="D44:AJ44" si="4">($C$40-$C$35)/5+C44</f>
        <v>23.400000000000002</v>
      </c>
      <c r="E44">
        <f t="shared" si="4"/>
        <v>23.700000000000003</v>
      </c>
      <c r="F44">
        <f t="shared" si="4"/>
        <v>24.000000000000004</v>
      </c>
      <c r="G44">
        <f t="shared" si="4"/>
        <v>24.300000000000004</v>
      </c>
      <c r="H44">
        <f t="shared" si="4"/>
        <v>24.600000000000005</v>
      </c>
      <c r="I44">
        <f t="shared" si="4"/>
        <v>24.900000000000006</v>
      </c>
      <c r="J44">
        <f t="shared" si="4"/>
        <v>25.200000000000006</v>
      </c>
      <c r="K44">
        <f t="shared" si="4"/>
        <v>25.500000000000007</v>
      </c>
      <c r="L44">
        <f t="shared" si="4"/>
        <v>25.800000000000008</v>
      </c>
      <c r="M44">
        <f t="shared" si="4"/>
        <v>26.100000000000009</v>
      </c>
      <c r="N44">
        <f t="shared" si="4"/>
        <v>26.400000000000009</v>
      </c>
      <c r="O44">
        <f t="shared" si="4"/>
        <v>26.70000000000001</v>
      </c>
      <c r="P44">
        <f t="shared" si="4"/>
        <v>27.000000000000011</v>
      </c>
      <c r="Q44">
        <f t="shared" si="4"/>
        <v>27.300000000000011</v>
      </c>
      <c r="R44">
        <f t="shared" si="4"/>
        <v>27.600000000000012</v>
      </c>
      <c r="S44">
        <f t="shared" si="4"/>
        <v>27.900000000000013</v>
      </c>
      <c r="T44">
        <f t="shared" si="4"/>
        <v>28.200000000000014</v>
      </c>
      <c r="U44">
        <f t="shared" si="4"/>
        <v>28.500000000000014</v>
      </c>
      <c r="V44">
        <f t="shared" si="4"/>
        <v>28.800000000000015</v>
      </c>
      <c r="W44">
        <f t="shared" si="4"/>
        <v>29.100000000000016</v>
      </c>
      <c r="X44">
        <f t="shared" si="4"/>
        <v>29.400000000000016</v>
      </c>
      <c r="Y44">
        <f t="shared" si="4"/>
        <v>29.700000000000017</v>
      </c>
      <c r="Z44">
        <f t="shared" si="4"/>
        <v>30.000000000000018</v>
      </c>
      <c r="AA44">
        <f t="shared" si="4"/>
        <v>30.300000000000018</v>
      </c>
      <c r="AB44">
        <f t="shared" si="4"/>
        <v>30.600000000000019</v>
      </c>
      <c r="AC44">
        <f t="shared" si="4"/>
        <v>30.90000000000002</v>
      </c>
      <c r="AD44">
        <f t="shared" si="4"/>
        <v>31.200000000000021</v>
      </c>
      <c r="AE44">
        <f t="shared" si="4"/>
        <v>31.500000000000021</v>
      </c>
      <c r="AF44">
        <f t="shared" si="4"/>
        <v>31.800000000000022</v>
      </c>
      <c r="AG44">
        <f t="shared" si="4"/>
        <v>32.100000000000023</v>
      </c>
      <c r="AH44">
        <f t="shared" si="4"/>
        <v>32.40000000000002</v>
      </c>
      <c r="AI44">
        <f t="shared" si="4"/>
        <v>32.700000000000017</v>
      </c>
      <c r="AJ44">
        <f t="shared" si="4"/>
        <v>33.000000000000014</v>
      </c>
    </row>
    <row r="45" spans="1:36" x14ac:dyDescent="0.25">
      <c r="A45" t="s">
        <v>812</v>
      </c>
      <c r="B45">
        <f>D40</f>
        <v>81.400000000000006</v>
      </c>
      <c r="C45">
        <f>($D$40-$D$35)/5+B45</f>
        <v>81.56</v>
      </c>
      <c r="D45">
        <f t="shared" ref="D45:AJ45" si="5">($D$40-$D$35)/5+C45</f>
        <v>81.72</v>
      </c>
      <c r="E45">
        <f t="shared" si="5"/>
        <v>81.88</v>
      </c>
      <c r="F45">
        <f t="shared" si="5"/>
        <v>82.039999999999992</v>
      </c>
      <c r="G45">
        <f t="shared" si="5"/>
        <v>82.199999999999989</v>
      </c>
      <c r="H45">
        <f t="shared" si="5"/>
        <v>82.359999999999985</v>
      </c>
      <c r="I45">
        <f t="shared" si="5"/>
        <v>82.519999999999982</v>
      </c>
      <c r="J45">
        <f t="shared" si="5"/>
        <v>82.679999999999978</v>
      </c>
      <c r="K45">
        <f t="shared" si="5"/>
        <v>82.839999999999975</v>
      </c>
      <c r="L45">
        <f t="shared" si="5"/>
        <v>82.999999999999972</v>
      </c>
      <c r="M45">
        <f t="shared" si="5"/>
        <v>83.159999999999968</v>
      </c>
      <c r="N45">
        <f t="shared" si="5"/>
        <v>83.319999999999965</v>
      </c>
      <c r="O45">
        <f t="shared" si="5"/>
        <v>83.479999999999961</v>
      </c>
      <c r="P45">
        <f t="shared" si="5"/>
        <v>83.639999999999958</v>
      </c>
      <c r="Q45">
        <f t="shared" si="5"/>
        <v>83.799999999999955</v>
      </c>
      <c r="R45">
        <f t="shared" si="5"/>
        <v>83.959999999999951</v>
      </c>
      <c r="S45">
        <f t="shared" si="5"/>
        <v>84.119999999999948</v>
      </c>
      <c r="T45">
        <f t="shared" si="5"/>
        <v>84.279999999999944</v>
      </c>
      <c r="U45">
        <f t="shared" si="5"/>
        <v>84.439999999999941</v>
      </c>
      <c r="V45">
        <f t="shared" si="5"/>
        <v>84.599999999999937</v>
      </c>
      <c r="W45">
        <f t="shared" si="5"/>
        <v>84.759999999999934</v>
      </c>
      <c r="X45">
        <f t="shared" si="5"/>
        <v>84.919999999999931</v>
      </c>
      <c r="Y45">
        <f t="shared" si="5"/>
        <v>85.079999999999927</v>
      </c>
      <c r="Z45">
        <f t="shared" si="5"/>
        <v>85.239999999999924</v>
      </c>
      <c r="AA45">
        <f t="shared" si="5"/>
        <v>85.39999999999992</v>
      </c>
      <c r="AB45">
        <f t="shared" si="5"/>
        <v>85.559999999999917</v>
      </c>
      <c r="AC45">
        <f t="shared" si="5"/>
        <v>85.719999999999914</v>
      </c>
      <c r="AD45">
        <f t="shared" si="5"/>
        <v>85.87999999999991</v>
      </c>
      <c r="AE45">
        <f t="shared" si="5"/>
        <v>86.039999999999907</v>
      </c>
      <c r="AF45">
        <f t="shared" si="5"/>
        <v>86.199999999999903</v>
      </c>
      <c r="AG45">
        <f t="shared" si="5"/>
        <v>86.3599999999999</v>
      </c>
      <c r="AH45">
        <f t="shared" si="5"/>
        <v>86.519999999999897</v>
      </c>
      <c r="AI45">
        <f t="shared" si="5"/>
        <v>86.679999999999893</v>
      </c>
      <c r="AJ45">
        <f t="shared" si="5"/>
        <v>86.83999999999989</v>
      </c>
    </row>
    <row r="46" spans="1:36" x14ac:dyDescent="0.25">
      <c r="A46" t="s">
        <v>813</v>
      </c>
      <c r="B46">
        <f>F40</f>
        <v>34.5</v>
      </c>
      <c r="C46">
        <f>AVERAGE($F$35:$F$40)</f>
        <v>34.733333333333334</v>
      </c>
      <c r="D46">
        <f t="shared" ref="D46:AJ46" si="6">AVERAGE($F$35:$F$40)</f>
        <v>34.733333333333334</v>
      </c>
      <c r="E46">
        <f t="shared" si="6"/>
        <v>34.733333333333334</v>
      </c>
      <c r="F46">
        <f t="shared" si="6"/>
        <v>34.733333333333334</v>
      </c>
      <c r="G46">
        <f t="shared" si="6"/>
        <v>34.733333333333334</v>
      </c>
      <c r="H46">
        <f t="shared" si="6"/>
        <v>34.733333333333334</v>
      </c>
      <c r="I46">
        <f t="shared" si="6"/>
        <v>34.733333333333334</v>
      </c>
      <c r="J46">
        <f t="shared" si="6"/>
        <v>34.733333333333334</v>
      </c>
      <c r="K46">
        <f t="shared" si="6"/>
        <v>34.733333333333334</v>
      </c>
      <c r="L46">
        <f t="shared" si="6"/>
        <v>34.733333333333334</v>
      </c>
      <c r="M46">
        <f t="shared" si="6"/>
        <v>34.733333333333334</v>
      </c>
      <c r="N46">
        <f t="shared" si="6"/>
        <v>34.733333333333334</v>
      </c>
      <c r="O46">
        <f t="shared" si="6"/>
        <v>34.733333333333334</v>
      </c>
      <c r="P46">
        <f t="shared" si="6"/>
        <v>34.733333333333334</v>
      </c>
      <c r="Q46">
        <f t="shared" si="6"/>
        <v>34.733333333333334</v>
      </c>
      <c r="R46">
        <f t="shared" si="6"/>
        <v>34.733333333333334</v>
      </c>
      <c r="S46">
        <f t="shared" si="6"/>
        <v>34.733333333333334</v>
      </c>
      <c r="T46">
        <f t="shared" si="6"/>
        <v>34.733333333333334</v>
      </c>
      <c r="U46">
        <f t="shared" si="6"/>
        <v>34.733333333333334</v>
      </c>
      <c r="V46">
        <f t="shared" si="6"/>
        <v>34.733333333333334</v>
      </c>
      <c r="W46">
        <f t="shared" si="6"/>
        <v>34.733333333333334</v>
      </c>
      <c r="X46">
        <f t="shared" si="6"/>
        <v>34.733333333333334</v>
      </c>
      <c r="Y46">
        <f t="shared" si="6"/>
        <v>34.733333333333334</v>
      </c>
      <c r="Z46">
        <f t="shared" si="6"/>
        <v>34.733333333333334</v>
      </c>
      <c r="AA46">
        <f t="shared" si="6"/>
        <v>34.733333333333334</v>
      </c>
      <c r="AB46">
        <f t="shared" si="6"/>
        <v>34.733333333333334</v>
      </c>
      <c r="AC46">
        <f t="shared" si="6"/>
        <v>34.733333333333334</v>
      </c>
      <c r="AD46">
        <f t="shared" si="6"/>
        <v>34.733333333333334</v>
      </c>
      <c r="AE46">
        <f t="shared" si="6"/>
        <v>34.733333333333334</v>
      </c>
      <c r="AF46">
        <f t="shared" si="6"/>
        <v>34.733333333333334</v>
      </c>
      <c r="AG46">
        <f t="shared" si="6"/>
        <v>34.733333333333334</v>
      </c>
      <c r="AH46">
        <f t="shared" si="6"/>
        <v>34.733333333333334</v>
      </c>
      <c r="AI46">
        <f t="shared" si="6"/>
        <v>34.733333333333334</v>
      </c>
      <c r="AJ46">
        <f t="shared" si="6"/>
        <v>34.733333333333334</v>
      </c>
    </row>
    <row r="47" spans="1:36" x14ac:dyDescent="0.25">
      <c r="A47" t="s">
        <v>820</v>
      </c>
      <c r="B47">
        <f>G40</f>
        <v>294.8</v>
      </c>
      <c r="C47">
        <f>B47*(C43/B43)</f>
        <v>292.92681833048783</v>
      </c>
      <c r="D47">
        <f t="shared" ref="D47:AJ47" si="7">C47*(D43/C43)</f>
        <v>295.26513418170737</v>
      </c>
      <c r="E47">
        <f t="shared" si="7"/>
        <v>297.62588718902447</v>
      </c>
      <c r="F47">
        <f t="shared" si="7"/>
        <v>299.97868509024403</v>
      </c>
      <c r="G47">
        <f t="shared" si="7"/>
        <v>302.31867357195131</v>
      </c>
      <c r="H47">
        <f t="shared" si="7"/>
        <v>304.64349513292694</v>
      </c>
      <c r="I47">
        <f t="shared" si="7"/>
        <v>306.9502404207318</v>
      </c>
      <c r="J47">
        <f t="shared" si="7"/>
        <v>309.2364971085367</v>
      </c>
      <c r="K47">
        <f t="shared" si="7"/>
        <v>311.49869883536599</v>
      </c>
      <c r="L47">
        <f t="shared" si="7"/>
        <v>313.73607714390249</v>
      </c>
      <c r="M47">
        <f t="shared" si="7"/>
        <v>315.94040459756104</v>
      </c>
      <c r="N47">
        <f t="shared" si="7"/>
        <v>318.10956816341468</v>
      </c>
      <c r="O47">
        <f t="shared" si="7"/>
        <v>320.2400572048781</v>
      </c>
      <c r="P47">
        <f t="shared" si="7"/>
        <v>322.32978745000003</v>
      </c>
      <c r="Q47">
        <f t="shared" si="7"/>
        <v>324.37727860731707</v>
      </c>
      <c r="R47">
        <f t="shared" si="7"/>
        <v>326.38178828414635</v>
      </c>
      <c r="S47">
        <f t="shared" si="7"/>
        <v>328.34320772804881</v>
      </c>
      <c r="T47">
        <f t="shared" si="7"/>
        <v>330.26183803048787</v>
      </c>
      <c r="U47">
        <f t="shared" si="7"/>
        <v>332.1392439682927</v>
      </c>
      <c r="V47">
        <f t="shared" si="7"/>
        <v>333.97984035121959</v>
      </c>
      <c r="W47">
        <f t="shared" si="7"/>
        <v>335.78480727804885</v>
      </c>
      <c r="X47">
        <f t="shared" si="7"/>
        <v>337.55592703048791</v>
      </c>
      <c r="Y47">
        <f t="shared" si="7"/>
        <v>339.2954762195123</v>
      </c>
      <c r="Z47">
        <f t="shared" si="7"/>
        <v>341.00647295000005</v>
      </c>
      <c r="AA47">
        <f t="shared" si="7"/>
        <v>342.69193263048788</v>
      </c>
      <c r="AB47">
        <f t="shared" si="7"/>
        <v>344.35531286951226</v>
      </c>
      <c r="AC47">
        <f t="shared" si="7"/>
        <v>345.99993196463419</v>
      </c>
      <c r="AD47">
        <f t="shared" si="7"/>
        <v>347.62968523048784</v>
      </c>
      <c r="AE47">
        <f t="shared" si="7"/>
        <v>349.24843922073171</v>
      </c>
      <c r="AF47">
        <f t="shared" si="7"/>
        <v>350.8610761109756</v>
      </c>
      <c r="AG47">
        <f t="shared" si="7"/>
        <v>352.47006575000006</v>
      </c>
      <c r="AH47">
        <f t="shared" si="7"/>
        <v>354.07502256097564</v>
      </c>
      <c r="AI47">
        <f t="shared" si="7"/>
        <v>355.67913002439025</v>
      </c>
      <c r="AJ47">
        <f t="shared" si="7"/>
        <v>357.28726941707316</v>
      </c>
    </row>
    <row r="49" spans="1:37" x14ac:dyDescent="0.25">
      <c r="A49" s="55" t="s">
        <v>781</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row>
    <row r="50" spans="1:37" x14ac:dyDescent="0.25">
      <c r="B50">
        <v>2016</v>
      </c>
      <c r="C50">
        <v>2017</v>
      </c>
      <c r="D50">
        <v>2018</v>
      </c>
      <c r="E50">
        <v>2019</v>
      </c>
      <c r="F50">
        <v>2020</v>
      </c>
      <c r="G50">
        <v>2021</v>
      </c>
      <c r="H50">
        <v>2022</v>
      </c>
      <c r="I50">
        <v>2023</v>
      </c>
      <c r="J50">
        <v>2024</v>
      </c>
      <c r="K50">
        <v>2025</v>
      </c>
      <c r="L50">
        <v>2026</v>
      </c>
      <c r="M50">
        <v>2027</v>
      </c>
      <c r="N50">
        <v>2028</v>
      </c>
      <c r="O50">
        <v>2029</v>
      </c>
      <c r="P50">
        <v>2030</v>
      </c>
      <c r="Q50">
        <v>2031</v>
      </c>
      <c r="R50">
        <v>2032</v>
      </c>
      <c r="S50">
        <v>2033</v>
      </c>
      <c r="T50">
        <v>2034</v>
      </c>
      <c r="U50">
        <v>2035</v>
      </c>
      <c r="V50">
        <v>2036</v>
      </c>
      <c r="W50">
        <v>2037</v>
      </c>
      <c r="X50">
        <v>2038</v>
      </c>
      <c r="Y50">
        <v>2039</v>
      </c>
      <c r="Z50">
        <v>2040</v>
      </c>
      <c r="AA50">
        <v>2041</v>
      </c>
      <c r="AB50">
        <v>2042</v>
      </c>
      <c r="AC50">
        <v>2043</v>
      </c>
      <c r="AD50">
        <v>2044</v>
      </c>
      <c r="AE50">
        <v>2045</v>
      </c>
      <c r="AF50">
        <v>2046</v>
      </c>
      <c r="AG50">
        <v>2047</v>
      </c>
      <c r="AH50">
        <v>2048</v>
      </c>
      <c r="AI50">
        <v>2049</v>
      </c>
      <c r="AJ50">
        <v>2050</v>
      </c>
    </row>
    <row r="51" spans="1:37" x14ac:dyDescent="0.25">
      <c r="A51" t="s">
        <v>756</v>
      </c>
      <c r="B51">
        <f t="shared" ref="B51:AJ51" si="8">(((((B43*10^6*B45/100)-(0.9*B44*10^6))*B46*$B$27*$B$28*$B$29)-B47*10^6)*$B$30*44/28)*(1/10^6)</f>
        <v>13.718478400000002</v>
      </c>
      <c r="C51">
        <f t="shared" si="8"/>
        <v>13.746999114622819</v>
      </c>
      <c r="D51">
        <f t="shared" si="8"/>
        <v>13.884348515410517</v>
      </c>
      <c r="E51">
        <f t="shared" si="8"/>
        <v>14.023405703017414</v>
      </c>
      <c r="F51">
        <f t="shared" si="8"/>
        <v>14.162600311787905</v>
      </c>
      <c r="G51">
        <f t="shared" si="8"/>
        <v>14.301676917566597</v>
      </c>
      <c r="H51">
        <f t="shared" si="8"/>
        <v>14.440508069282901</v>
      </c>
      <c r="I51">
        <f t="shared" si="8"/>
        <v>14.578936366705697</v>
      </c>
      <c r="J51">
        <f t="shared" si="8"/>
        <v>14.716829094141303</v>
      </c>
      <c r="K51">
        <f t="shared" si="8"/>
        <v>14.853991811165704</v>
      </c>
      <c r="L51">
        <f t="shared" si="8"/>
        <v>14.99037566137585</v>
      </c>
      <c r="M51">
        <f t="shared" si="8"/>
        <v>15.125538011082197</v>
      </c>
      <c r="N51">
        <f t="shared" si="8"/>
        <v>15.259355602471569</v>
      </c>
      <c r="O51">
        <f t="shared" si="8"/>
        <v>15.391630150648053</v>
      </c>
      <c r="P51">
        <f t="shared" si="8"/>
        <v>15.522237464974204</v>
      </c>
      <c r="Q51">
        <f t="shared" si="8"/>
        <v>15.651084520968237</v>
      </c>
      <c r="R51">
        <f t="shared" si="8"/>
        <v>15.778116953920284</v>
      </c>
      <c r="S51">
        <f t="shared" si="8"/>
        <v>15.903313917093058</v>
      </c>
      <c r="T51">
        <f t="shared" si="8"/>
        <v>16.026676464478541</v>
      </c>
      <c r="U51">
        <f t="shared" si="8"/>
        <v>16.148273621475273</v>
      </c>
      <c r="V51">
        <f t="shared" si="8"/>
        <v>16.268328457119534</v>
      </c>
      <c r="W51">
        <f t="shared" si="8"/>
        <v>16.386891715207984</v>
      </c>
      <c r="X51">
        <f t="shared" si="8"/>
        <v>16.504047224001965</v>
      </c>
      <c r="Y51">
        <f t="shared" si="8"/>
        <v>16.619906407717533</v>
      </c>
      <c r="Z51">
        <f t="shared" si="8"/>
        <v>16.734621985890236</v>
      </c>
      <c r="AA51">
        <f t="shared" si="8"/>
        <v>16.848347939049734</v>
      </c>
      <c r="AB51">
        <f t="shared" si="8"/>
        <v>16.961263751014592</v>
      </c>
      <c r="AC51">
        <f t="shared" si="8"/>
        <v>17.073542910438302</v>
      </c>
      <c r="AD51">
        <f t="shared" si="8"/>
        <v>17.185392031711192</v>
      </c>
      <c r="AE51">
        <f t="shared" si="8"/>
        <v>17.297017968616476</v>
      </c>
      <c r="AF51">
        <f t="shared" si="8"/>
        <v>17.40868519651735</v>
      </c>
      <c r="AG51">
        <f t="shared" si="8"/>
        <v>17.520527605783947</v>
      </c>
      <c r="AH51">
        <f t="shared" si="8"/>
        <v>17.632522639542021</v>
      </c>
      <c r="AI51">
        <f t="shared" si="8"/>
        <v>17.744844963774135</v>
      </c>
      <c r="AJ51">
        <f t="shared" si="8"/>
        <v>17.857764831387001</v>
      </c>
    </row>
    <row r="53" spans="1:37" x14ac:dyDescent="0.25">
      <c r="A53" s="73" t="s">
        <v>819</v>
      </c>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row>
    <row r="54" spans="1:37" x14ac:dyDescent="0.25">
      <c r="A54" s="55" t="s">
        <v>797</v>
      </c>
      <c r="B54" s="55"/>
      <c r="C54" s="55"/>
      <c r="D54" s="55"/>
      <c r="E54" s="55"/>
      <c r="F54" s="55"/>
      <c r="G54" s="58"/>
    </row>
    <row r="55" spans="1:37" x14ac:dyDescent="0.25">
      <c r="A55" t="s">
        <v>816</v>
      </c>
      <c r="B55">
        <v>1.25</v>
      </c>
    </row>
    <row r="56" spans="1:37" x14ac:dyDescent="0.25">
      <c r="A56" t="s">
        <v>821</v>
      </c>
      <c r="B56">
        <v>7</v>
      </c>
    </row>
    <row r="57" spans="1:37" x14ac:dyDescent="0.25">
      <c r="A57" t="s">
        <v>822</v>
      </c>
      <c r="B57">
        <v>3.2</v>
      </c>
    </row>
    <row r="59" spans="1:37" x14ac:dyDescent="0.25">
      <c r="A59" s="55" t="s">
        <v>805</v>
      </c>
      <c r="B59" s="55"/>
      <c r="C59" s="55"/>
      <c r="D59" s="55"/>
      <c r="E59" s="55"/>
      <c r="F59" s="55"/>
      <c r="G59" s="58"/>
    </row>
    <row r="60" spans="1:37" x14ac:dyDescent="0.25">
      <c r="A60" t="s">
        <v>240</v>
      </c>
      <c r="B60" t="s">
        <v>799</v>
      </c>
      <c r="C60" t="s">
        <v>806</v>
      </c>
      <c r="D60" t="s">
        <v>807</v>
      </c>
      <c r="E60" t="s">
        <v>808</v>
      </c>
      <c r="F60" t="s">
        <v>809</v>
      </c>
      <c r="G60" t="s">
        <v>810</v>
      </c>
    </row>
    <row r="61" spans="1:37" x14ac:dyDescent="0.25">
      <c r="A61">
        <v>2011</v>
      </c>
      <c r="B61">
        <v>316</v>
      </c>
      <c r="C61">
        <v>21.3</v>
      </c>
      <c r="D61">
        <v>80.599999999999994</v>
      </c>
      <c r="E61">
        <v>45</v>
      </c>
      <c r="F61">
        <v>34.700000000000003</v>
      </c>
      <c r="G61">
        <v>279.5</v>
      </c>
    </row>
    <row r="62" spans="1:37" x14ac:dyDescent="0.25">
      <c r="A62">
        <v>2012</v>
      </c>
      <c r="B62">
        <v>318</v>
      </c>
      <c r="C62">
        <v>21.3</v>
      </c>
      <c r="D62">
        <v>81</v>
      </c>
      <c r="E62">
        <v>45.1</v>
      </c>
      <c r="F62">
        <v>34.700000000000003</v>
      </c>
      <c r="G62">
        <v>282.60000000000002</v>
      </c>
    </row>
    <row r="63" spans="1:37" x14ac:dyDescent="0.25">
      <c r="A63">
        <v>2013</v>
      </c>
      <c r="B63">
        <v>321</v>
      </c>
      <c r="C63">
        <v>19.8</v>
      </c>
      <c r="D63">
        <v>81.400000000000006</v>
      </c>
      <c r="E63">
        <v>45.1</v>
      </c>
      <c r="F63">
        <v>34.799999999999997</v>
      </c>
      <c r="G63">
        <v>285.60000000000002</v>
      </c>
    </row>
    <row r="64" spans="1:37" x14ac:dyDescent="0.25">
      <c r="A64">
        <v>2014</v>
      </c>
      <c r="B64">
        <v>323</v>
      </c>
      <c r="C64">
        <v>20.8</v>
      </c>
      <c r="D64">
        <v>81.099999999999994</v>
      </c>
      <c r="E64">
        <v>45.2</v>
      </c>
      <c r="F64">
        <v>34.799999999999997</v>
      </c>
      <c r="G64">
        <v>288.7</v>
      </c>
    </row>
    <row r="65" spans="1:37" x14ac:dyDescent="0.25">
      <c r="A65">
        <v>2015</v>
      </c>
      <c r="B65">
        <v>325</v>
      </c>
      <c r="C65">
        <v>21.8</v>
      </c>
      <c r="D65">
        <v>81.400000000000006</v>
      </c>
      <c r="E65">
        <v>45.2</v>
      </c>
      <c r="F65">
        <v>34.9</v>
      </c>
      <c r="G65">
        <v>291.8</v>
      </c>
    </row>
    <row r="66" spans="1:37" x14ac:dyDescent="0.25">
      <c r="A66">
        <v>2016</v>
      </c>
      <c r="B66">
        <v>328</v>
      </c>
      <c r="C66">
        <v>22.8</v>
      </c>
      <c r="D66">
        <v>81.400000000000006</v>
      </c>
      <c r="E66">
        <v>44.7</v>
      </c>
      <c r="F66">
        <v>34.5</v>
      </c>
      <c r="G66">
        <v>294.8</v>
      </c>
    </row>
    <row r="68" spans="1:37" x14ac:dyDescent="0.25">
      <c r="A68" t="s">
        <v>811</v>
      </c>
      <c r="B68">
        <v>2016</v>
      </c>
      <c r="C68">
        <v>2017</v>
      </c>
      <c r="D68">
        <v>2018</v>
      </c>
      <c r="E68">
        <v>2019</v>
      </c>
      <c r="F68">
        <v>2020</v>
      </c>
      <c r="G68">
        <v>2021</v>
      </c>
      <c r="H68">
        <v>2022</v>
      </c>
      <c r="I68">
        <v>2023</v>
      </c>
      <c r="J68">
        <v>2024</v>
      </c>
      <c r="K68">
        <v>2025</v>
      </c>
      <c r="L68">
        <v>2026</v>
      </c>
      <c r="M68">
        <v>2027</v>
      </c>
      <c r="N68">
        <v>2028</v>
      </c>
      <c r="O68">
        <v>2029</v>
      </c>
      <c r="P68">
        <v>2030</v>
      </c>
      <c r="Q68">
        <v>2031</v>
      </c>
      <c r="R68">
        <v>2032</v>
      </c>
      <c r="S68">
        <v>2033</v>
      </c>
      <c r="T68">
        <v>2034</v>
      </c>
      <c r="U68">
        <v>2035</v>
      </c>
      <c r="V68">
        <v>2036</v>
      </c>
      <c r="W68">
        <v>2037</v>
      </c>
      <c r="X68">
        <v>2038</v>
      </c>
      <c r="Y68">
        <v>2039</v>
      </c>
      <c r="Z68">
        <v>2040</v>
      </c>
      <c r="AA68">
        <v>2041</v>
      </c>
      <c r="AB68">
        <v>2042</v>
      </c>
      <c r="AC68">
        <v>2043</v>
      </c>
      <c r="AD68">
        <v>2044</v>
      </c>
      <c r="AE68">
        <v>2045</v>
      </c>
      <c r="AF68">
        <v>2046</v>
      </c>
      <c r="AG68">
        <v>2047</v>
      </c>
      <c r="AH68">
        <v>2048</v>
      </c>
      <c r="AI68">
        <v>2049</v>
      </c>
      <c r="AJ68">
        <v>2050</v>
      </c>
    </row>
    <row r="69" spans="1:37" x14ac:dyDescent="0.25">
      <c r="A69" t="s">
        <v>800</v>
      </c>
      <c r="B69" s="2">
        <f>B66</f>
        <v>328</v>
      </c>
      <c r="C69" s="2">
        <f>C3/10^6</f>
        <v>325.915863</v>
      </c>
      <c r="D69" s="2">
        <f t="shared" ref="D69:AJ69" si="9">D3/10^6</f>
        <v>328.517517</v>
      </c>
      <c r="E69" s="2">
        <f t="shared" si="9"/>
        <v>331.14413500000001</v>
      </c>
      <c r="F69" s="2">
        <f t="shared" si="9"/>
        <v>333.76190200000002</v>
      </c>
      <c r="G69" s="2">
        <f t="shared" si="9"/>
        <v>336.36541699999998</v>
      </c>
      <c r="H69" s="2">
        <f t="shared" si="9"/>
        <v>338.95205700000002</v>
      </c>
      <c r="I69" s="2">
        <f t="shared" si="9"/>
        <v>341.51858499999997</v>
      </c>
      <c r="J69" s="2">
        <f t="shared" si="9"/>
        <v>344.06231700000001</v>
      </c>
      <c r="K69" s="2">
        <f t="shared" si="9"/>
        <v>346.57928500000003</v>
      </c>
      <c r="L69" s="2">
        <f t="shared" si="9"/>
        <v>349.06863399999997</v>
      </c>
      <c r="M69" s="2">
        <f t="shared" si="9"/>
        <v>351.52121</v>
      </c>
      <c r="N69" s="2">
        <f t="shared" si="9"/>
        <v>353.934662</v>
      </c>
      <c r="O69" s="2">
        <f t="shared" si="9"/>
        <v>356.30508400000002</v>
      </c>
      <c r="P69" s="2">
        <f t="shared" si="9"/>
        <v>358.630157</v>
      </c>
      <c r="Q69" s="2">
        <f t="shared" si="9"/>
        <v>360.90823399999999</v>
      </c>
      <c r="R69" s="2">
        <f t="shared" si="9"/>
        <v>363.13848899999999</v>
      </c>
      <c r="S69" s="2">
        <f t="shared" si="9"/>
        <v>365.32080100000002</v>
      </c>
      <c r="T69" s="2">
        <f t="shared" si="9"/>
        <v>367.45550500000002</v>
      </c>
      <c r="U69" s="2">
        <f t="shared" si="9"/>
        <v>369.54434199999997</v>
      </c>
      <c r="V69" s="2">
        <f t="shared" si="9"/>
        <v>371.59222399999999</v>
      </c>
      <c r="W69" s="2">
        <f t="shared" si="9"/>
        <v>373.60046399999999</v>
      </c>
      <c r="X69" s="2">
        <f t="shared" si="9"/>
        <v>375.57104500000003</v>
      </c>
      <c r="Y69" s="2">
        <f t="shared" si="9"/>
        <v>377.50650000000002</v>
      </c>
      <c r="Z69" s="2">
        <f t="shared" si="9"/>
        <v>379.41018700000001</v>
      </c>
      <c r="AA69" s="2">
        <f t="shared" si="9"/>
        <v>381.285461</v>
      </c>
      <c r="AB69" s="2">
        <f t="shared" si="9"/>
        <v>383.136169</v>
      </c>
      <c r="AC69" s="2">
        <f t="shared" si="9"/>
        <v>384.966003</v>
      </c>
      <c r="AD69" s="2">
        <f t="shared" si="9"/>
        <v>386.77929699999999</v>
      </c>
      <c r="AE69" s="2">
        <f t="shared" si="9"/>
        <v>388.580353</v>
      </c>
      <c r="AF69" s="2">
        <f t="shared" si="9"/>
        <v>390.37460299999998</v>
      </c>
      <c r="AG69" s="2">
        <f t="shared" si="9"/>
        <v>392.16479500000003</v>
      </c>
      <c r="AH69" s="2">
        <f t="shared" si="9"/>
        <v>393.95049999999998</v>
      </c>
      <c r="AI69" s="2">
        <f t="shared" si="9"/>
        <v>395.73525999999998</v>
      </c>
      <c r="AJ69" s="2">
        <f t="shared" si="9"/>
        <v>397.52450599999997</v>
      </c>
    </row>
    <row r="70" spans="1:37" x14ac:dyDescent="0.25">
      <c r="A70" t="s">
        <v>817</v>
      </c>
      <c r="B70">
        <f>C66</f>
        <v>22.8</v>
      </c>
      <c r="C70">
        <f>($C$66-$C$61)/5+B70</f>
        <v>23.1</v>
      </c>
      <c r="D70">
        <f t="shared" ref="D70:AJ70" si="10">($C$66-$C$61)/5+C70</f>
        <v>23.400000000000002</v>
      </c>
      <c r="E70">
        <f t="shared" si="10"/>
        <v>23.700000000000003</v>
      </c>
      <c r="F70">
        <f t="shared" si="10"/>
        <v>24.000000000000004</v>
      </c>
      <c r="G70">
        <f t="shared" si="10"/>
        <v>24.300000000000004</v>
      </c>
      <c r="H70">
        <f t="shared" si="10"/>
        <v>24.600000000000005</v>
      </c>
      <c r="I70">
        <f t="shared" si="10"/>
        <v>24.900000000000006</v>
      </c>
      <c r="J70">
        <f t="shared" si="10"/>
        <v>25.200000000000006</v>
      </c>
      <c r="K70">
        <f t="shared" si="10"/>
        <v>25.500000000000007</v>
      </c>
      <c r="L70">
        <f t="shared" si="10"/>
        <v>25.800000000000008</v>
      </c>
      <c r="M70">
        <f t="shared" si="10"/>
        <v>26.100000000000009</v>
      </c>
      <c r="N70">
        <f t="shared" si="10"/>
        <v>26.400000000000009</v>
      </c>
      <c r="O70">
        <f t="shared" si="10"/>
        <v>26.70000000000001</v>
      </c>
      <c r="P70">
        <f t="shared" si="10"/>
        <v>27.000000000000011</v>
      </c>
      <c r="Q70">
        <f t="shared" si="10"/>
        <v>27.300000000000011</v>
      </c>
      <c r="R70">
        <f t="shared" si="10"/>
        <v>27.600000000000012</v>
      </c>
      <c r="S70">
        <f t="shared" si="10"/>
        <v>27.900000000000013</v>
      </c>
      <c r="T70">
        <f t="shared" si="10"/>
        <v>28.200000000000014</v>
      </c>
      <c r="U70">
        <f t="shared" si="10"/>
        <v>28.500000000000014</v>
      </c>
      <c r="V70">
        <f t="shared" si="10"/>
        <v>28.800000000000015</v>
      </c>
      <c r="W70">
        <f t="shared" si="10"/>
        <v>29.100000000000016</v>
      </c>
      <c r="X70">
        <f t="shared" si="10"/>
        <v>29.400000000000016</v>
      </c>
      <c r="Y70">
        <f t="shared" si="10"/>
        <v>29.700000000000017</v>
      </c>
      <c r="Z70">
        <f t="shared" si="10"/>
        <v>30.000000000000018</v>
      </c>
      <c r="AA70">
        <f t="shared" si="10"/>
        <v>30.300000000000018</v>
      </c>
      <c r="AB70">
        <f t="shared" si="10"/>
        <v>30.600000000000019</v>
      </c>
      <c r="AC70">
        <f t="shared" si="10"/>
        <v>30.90000000000002</v>
      </c>
      <c r="AD70">
        <f t="shared" si="10"/>
        <v>31.200000000000021</v>
      </c>
      <c r="AE70">
        <f t="shared" si="10"/>
        <v>31.500000000000021</v>
      </c>
      <c r="AF70">
        <f t="shared" si="10"/>
        <v>31.800000000000022</v>
      </c>
      <c r="AG70">
        <f t="shared" si="10"/>
        <v>32.100000000000023</v>
      </c>
      <c r="AH70">
        <f t="shared" si="10"/>
        <v>32.40000000000002</v>
      </c>
      <c r="AI70">
        <f t="shared" si="10"/>
        <v>32.700000000000017</v>
      </c>
      <c r="AJ70">
        <f t="shared" si="10"/>
        <v>33.000000000000014</v>
      </c>
    </row>
    <row r="71" spans="1:37" x14ac:dyDescent="0.25">
      <c r="A71" t="s">
        <v>812</v>
      </c>
      <c r="B71">
        <f>D66</f>
        <v>81.400000000000006</v>
      </c>
      <c r="C71">
        <f>($D$66-$D$61)/5+B71</f>
        <v>81.56</v>
      </c>
      <c r="D71">
        <f t="shared" ref="D71:AJ71" si="11">($D$66-$D$61)/5+C71</f>
        <v>81.72</v>
      </c>
      <c r="E71">
        <f t="shared" si="11"/>
        <v>81.88</v>
      </c>
      <c r="F71">
        <f t="shared" si="11"/>
        <v>82.039999999999992</v>
      </c>
      <c r="G71">
        <f t="shared" si="11"/>
        <v>82.199999999999989</v>
      </c>
      <c r="H71">
        <f t="shared" si="11"/>
        <v>82.359999999999985</v>
      </c>
      <c r="I71">
        <f t="shared" si="11"/>
        <v>82.519999999999982</v>
      </c>
      <c r="J71">
        <f t="shared" si="11"/>
        <v>82.679999999999978</v>
      </c>
      <c r="K71">
        <f t="shared" si="11"/>
        <v>82.839999999999975</v>
      </c>
      <c r="L71">
        <f t="shared" si="11"/>
        <v>82.999999999999972</v>
      </c>
      <c r="M71">
        <f t="shared" si="11"/>
        <v>83.159999999999968</v>
      </c>
      <c r="N71">
        <f t="shared" si="11"/>
        <v>83.319999999999965</v>
      </c>
      <c r="O71">
        <f t="shared" si="11"/>
        <v>83.479999999999961</v>
      </c>
      <c r="P71">
        <f t="shared" si="11"/>
        <v>83.639999999999958</v>
      </c>
      <c r="Q71">
        <f t="shared" si="11"/>
        <v>83.799999999999955</v>
      </c>
      <c r="R71">
        <f t="shared" si="11"/>
        <v>83.959999999999951</v>
      </c>
      <c r="S71">
        <f t="shared" si="11"/>
        <v>84.119999999999948</v>
      </c>
      <c r="T71">
        <f t="shared" si="11"/>
        <v>84.279999999999944</v>
      </c>
      <c r="U71">
        <f t="shared" si="11"/>
        <v>84.439999999999941</v>
      </c>
      <c r="V71">
        <f t="shared" si="11"/>
        <v>84.599999999999937</v>
      </c>
      <c r="W71">
        <f t="shared" si="11"/>
        <v>84.759999999999934</v>
      </c>
      <c r="X71">
        <f t="shared" si="11"/>
        <v>84.919999999999931</v>
      </c>
      <c r="Y71">
        <f t="shared" si="11"/>
        <v>85.079999999999927</v>
      </c>
      <c r="Z71">
        <f t="shared" si="11"/>
        <v>85.239999999999924</v>
      </c>
      <c r="AA71">
        <f t="shared" si="11"/>
        <v>85.39999999999992</v>
      </c>
      <c r="AB71">
        <f t="shared" si="11"/>
        <v>85.559999999999917</v>
      </c>
      <c r="AC71">
        <f t="shared" si="11"/>
        <v>85.719999999999914</v>
      </c>
      <c r="AD71">
        <f t="shared" si="11"/>
        <v>85.87999999999991</v>
      </c>
      <c r="AE71">
        <f t="shared" si="11"/>
        <v>86.039999999999907</v>
      </c>
      <c r="AF71">
        <f t="shared" si="11"/>
        <v>86.199999999999903</v>
      </c>
      <c r="AG71">
        <f t="shared" si="11"/>
        <v>86.3599999999999</v>
      </c>
      <c r="AH71">
        <f t="shared" si="11"/>
        <v>86.519999999999897</v>
      </c>
      <c r="AI71">
        <f t="shared" si="11"/>
        <v>86.679999999999893</v>
      </c>
      <c r="AJ71">
        <f t="shared" si="11"/>
        <v>86.83999999999989</v>
      </c>
    </row>
    <row r="73" spans="1:37" x14ac:dyDescent="0.25">
      <c r="A73" s="55" t="s">
        <v>781</v>
      </c>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row>
    <row r="74" spans="1:37" x14ac:dyDescent="0.25">
      <c r="B74">
        <v>2016</v>
      </c>
      <c r="C74">
        <v>2017</v>
      </c>
      <c r="D74">
        <v>2018</v>
      </c>
      <c r="E74">
        <v>2019</v>
      </c>
      <c r="F74">
        <v>2020</v>
      </c>
      <c r="G74">
        <v>2021</v>
      </c>
      <c r="H74">
        <v>2022</v>
      </c>
      <c r="I74">
        <v>2023</v>
      </c>
      <c r="J74">
        <v>2024</v>
      </c>
      <c r="K74">
        <v>2025</v>
      </c>
      <c r="L74">
        <v>2026</v>
      </c>
      <c r="M74">
        <v>2027</v>
      </c>
      <c r="N74">
        <v>2028</v>
      </c>
      <c r="O74">
        <v>2029</v>
      </c>
      <c r="P74">
        <v>2030</v>
      </c>
      <c r="Q74">
        <v>2031</v>
      </c>
      <c r="R74">
        <v>2032</v>
      </c>
      <c r="S74">
        <v>2033</v>
      </c>
      <c r="T74">
        <v>2034</v>
      </c>
      <c r="U74">
        <v>2035</v>
      </c>
      <c r="V74">
        <v>2036</v>
      </c>
      <c r="W74">
        <v>2037</v>
      </c>
      <c r="X74">
        <v>2038</v>
      </c>
      <c r="Y74">
        <v>2039</v>
      </c>
      <c r="Z74">
        <v>2040</v>
      </c>
      <c r="AA74">
        <v>2041</v>
      </c>
      <c r="AB74">
        <v>2042</v>
      </c>
      <c r="AC74">
        <v>2043</v>
      </c>
      <c r="AD74">
        <v>2044</v>
      </c>
      <c r="AE74">
        <v>2045</v>
      </c>
      <c r="AF74">
        <v>2046</v>
      </c>
      <c r="AG74">
        <v>2047</v>
      </c>
      <c r="AH74">
        <v>2048</v>
      </c>
      <c r="AI74">
        <v>2049</v>
      </c>
      <c r="AJ74">
        <v>2050</v>
      </c>
    </row>
    <row r="75" spans="1:37" x14ac:dyDescent="0.25">
      <c r="A75" t="s">
        <v>756</v>
      </c>
      <c r="B75">
        <f t="shared" ref="B75:AJ75" si="12">(B70*10^6*$B$56*$B$55/10^9)+((B69*B71/100-B70)*10^6*$B$55*$B$57)/10^9</f>
        <v>1.1762679999999999</v>
      </c>
      <c r="C75">
        <f t="shared" si="12"/>
        <v>1.1729929114512001</v>
      </c>
      <c r="D75">
        <f t="shared" si="12"/>
        <v>1.1850080595696002</v>
      </c>
      <c r="E75">
        <f t="shared" si="12"/>
        <v>1.1971382709520002</v>
      </c>
      <c r="F75">
        <f t="shared" si="12"/>
        <v>1.2092730576032</v>
      </c>
      <c r="G75">
        <f t="shared" si="12"/>
        <v>1.2213944910959997</v>
      </c>
      <c r="H75">
        <f t="shared" si="12"/>
        <v>1.2334936565807999</v>
      </c>
      <c r="I75">
        <f t="shared" si="12"/>
        <v>1.245559545368</v>
      </c>
      <c r="J75">
        <f t="shared" si="12"/>
        <v>1.2575828947823999</v>
      </c>
      <c r="K75">
        <f t="shared" si="12"/>
        <v>1.2695501187759997</v>
      </c>
      <c r="L75">
        <f t="shared" si="12"/>
        <v>1.2814578648799997</v>
      </c>
      <c r="M75">
        <f t="shared" si="12"/>
        <v>1.2932751529439994</v>
      </c>
      <c r="N75">
        <f t="shared" si="12"/>
        <v>1.3049934415135995</v>
      </c>
      <c r="O75">
        <f t="shared" si="12"/>
        <v>1.3165989364927997</v>
      </c>
      <c r="P75">
        <f t="shared" si="12"/>
        <v>1.3280830532591994</v>
      </c>
      <c r="Q75">
        <f t="shared" si="12"/>
        <v>1.3394394003679995</v>
      </c>
      <c r="R75">
        <f t="shared" si="12"/>
        <v>1.3506643014575994</v>
      </c>
      <c r="S75">
        <f t="shared" si="12"/>
        <v>1.3617564312047996</v>
      </c>
      <c r="T75">
        <f t="shared" si="12"/>
        <v>1.3727159984559991</v>
      </c>
      <c r="U75">
        <f t="shared" si="12"/>
        <v>1.383547969539199</v>
      </c>
      <c r="V75">
        <f t="shared" si="12"/>
        <v>1.3942680860159993</v>
      </c>
      <c r="W75">
        <f t="shared" si="12"/>
        <v>1.4048800131455992</v>
      </c>
      <c r="X75">
        <f t="shared" si="12"/>
        <v>1.4153897256559991</v>
      </c>
      <c r="Y75">
        <f t="shared" si="12"/>
        <v>1.4258051207999991</v>
      </c>
      <c r="Z75">
        <f t="shared" si="12"/>
        <v>1.436136973595199</v>
      </c>
      <c r="AA75">
        <f t="shared" si="12"/>
        <v>1.4463961347759988</v>
      </c>
      <c r="AB75">
        <f t="shared" si="12"/>
        <v>1.4565952247855989</v>
      </c>
      <c r="AC75">
        <f t="shared" si="12"/>
        <v>1.4667464310863991</v>
      </c>
      <c r="AD75">
        <f t="shared" si="12"/>
        <v>1.4768642410543986</v>
      </c>
      <c r="AE75">
        <f t="shared" si="12"/>
        <v>1.4869631428847987</v>
      </c>
      <c r="AF75">
        <f t="shared" si="12"/>
        <v>1.497061631143999</v>
      </c>
      <c r="AG75">
        <f t="shared" si="12"/>
        <v>1.5071690678479985</v>
      </c>
      <c r="AH75">
        <f t="shared" si="12"/>
        <v>1.5172838903999983</v>
      </c>
      <c r="AI75">
        <f t="shared" si="12"/>
        <v>1.5274182934719982</v>
      </c>
      <c r="AJ75">
        <f t="shared" si="12"/>
        <v>1.5375911240415985</v>
      </c>
    </row>
    <row r="77" spans="1:37" x14ac:dyDescent="0.25">
      <c r="A77" s="73" t="s">
        <v>1590</v>
      </c>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row>
    <row r="78" spans="1:37" x14ac:dyDescent="0.25">
      <c r="A78" s="55" t="s">
        <v>773</v>
      </c>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row>
    <row r="79" spans="1:37" x14ac:dyDescent="0.25">
      <c r="A79" t="s">
        <v>1591</v>
      </c>
      <c r="B79">
        <v>1990</v>
      </c>
      <c r="C79">
        <v>1991</v>
      </c>
      <c r="D79">
        <v>1992</v>
      </c>
      <c r="E79">
        <v>1993</v>
      </c>
      <c r="F79">
        <v>1994</v>
      </c>
      <c r="G79">
        <v>1995</v>
      </c>
      <c r="H79">
        <v>1996</v>
      </c>
      <c r="I79">
        <v>1997</v>
      </c>
      <c r="J79">
        <v>1998</v>
      </c>
      <c r="K79">
        <v>1999</v>
      </c>
      <c r="L79">
        <v>2000</v>
      </c>
      <c r="M79">
        <v>2001</v>
      </c>
      <c r="N79">
        <v>2002</v>
      </c>
      <c r="O79">
        <v>2003</v>
      </c>
      <c r="P79">
        <v>2004</v>
      </c>
      <c r="Q79">
        <v>2005</v>
      </c>
      <c r="R79">
        <v>2006</v>
      </c>
      <c r="S79">
        <v>2007</v>
      </c>
      <c r="T79">
        <v>2008</v>
      </c>
      <c r="U79">
        <v>2009</v>
      </c>
      <c r="V79">
        <v>2010</v>
      </c>
      <c r="W79">
        <v>2011</v>
      </c>
      <c r="X79">
        <v>2012</v>
      </c>
      <c r="Y79">
        <v>2013</v>
      </c>
      <c r="Z79">
        <v>2014</v>
      </c>
      <c r="AA79">
        <v>2015</v>
      </c>
      <c r="AB79">
        <v>2016</v>
      </c>
    </row>
    <row r="80" spans="1:37" x14ac:dyDescent="0.25">
      <c r="A80" t="s">
        <v>1592</v>
      </c>
      <c r="B80">
        <v>5.0999999999999996</v>
      </c>
      <c r="C80">
        <v>5.2</v>
      </c>
      <c r="D80">
        <v>5.4</v>
      </c>
      <c r="E80">
        <v>5.4</v>
      </c>
      <c r="F80">
        <v>5.6</v>
      </c>
      <c r="G80">
        <v>5.7</v>
      </c>
      <c r="H80">
        <v>5.7</v>
      </c>
      <c r="I80">
        <v>5.8</v>
      </c>
      <c r="J80">
        <v>5.8</v>
      </c>
      <c r="K80">
        <v>6</v>
      </c>
      <c r="L80">
        <v>5.9</v>
      </c>
      <c r="M80">
        <v>5.8</v>
      </c>
      <c r="N80">
        <v>5.9</v>
      </c>
      <c r="O80">
        <v>5.8</v>
      </c>
      <c r="P80">
        <v>5.8</v>
      </c>
      <c r="Q80">
        <v>5.9</v>
      </c>
      <c r="R80">
        <v>6</v>
      </c>
      <c r="S80">
        <v>6</v>
      </c>
      <c r="T80">
        <v>6.1</v>
      </c>
      <c r="U80">
        <v>5.8</v>
      </c>
      <c r="V80">
        <v>5.9</v>
      </c>
      <c r="W80">
        <v>5.9</v>
      </c>
      <c r="X80">
        <v>5.8</v>
      </c>
      <c r="Y80">
        <v>5.8</v>
      </c>
      <c r="Z80">
        <v>5.7</v>
      </c>
      <c r="AA80">
        <v>5.8</v>
      </c>
      <c r="AB80">
        <v>5.9</v>
      </c>
    </row>
    <row r="82" spans="1:37" x14ac:dyDescent="0.25">
      <c r="A82" s="55" t="s">
        <v>555</v>
      </c>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row>
    <row r="83" spans="1:37" x14ac:dyDescent="0.25">
      <c r="B83">
        <v>2016</v>
      </c>
      <c r="C83">
        <v>2017</v>
      </c>
      <c r="D83">
        <v>2018</v>
      </c>
      <c r="E83">
        <v>2019</v>
      </c>
      <c r="F83">
        <v>2020</v>
      </c>
      <c r="G83">
        <v>2021</v>
      </c>
      <c r="H83">
        <v>2022</v>
      </c>
      <c r="I83">
        <v>2023</v>
      </c>
      <c r="J83">
        <v>2024</v>
      </c>
      <c r="K83">
        <v>2025</v>
      </c>
      <c r="L83">
        <v>2026</v>
      </c>
      <c r="M83">
        <v>2027</v>
      </c>
      <c r="N83">
        <v>2028</v>
      </c>
      <c r="O83">
        <v>2029</v>
      </c>
      <c r="P83">
        <v>2030</v>
      </c>
      <c r="Q83">
        <v>2031</v>
      </c>
      <c r="R83">
        <v>2032</v>
      </c>
      <c r="S83">
        <v>2033</v>
      </c>
      <c r="T83">
        <v>2034</v>
      </c>
      <c r="U83">
        <v>2035</v>
      </c>
      <c r="V83">
        <v>2036</v>
      </c>
      <c r="W83">
        <v>2037</v>
      </c>
      <c r="X83">
        <v>2038</v>
      </c>
      <c r="Y83">
        <v>2039</v>
      </c>
      <c r="Z83">
        <v>2040</v>
      </c>
      <c r="AA83">
        <v>2041</v>
      </c>
      <c r="AB83">
        <v>2042</v>
      </c>
      <c r="AC83">
        <v>2043</v>
      </c>
      <c r="AD83">
        <v>2044</v>
      </c>
      <c r="AE83">
        <v>2045</v>
      </c>
      <c r="AF83">
        <v>2046</v>
      </c>
      <c r="AG83">
        <v>2047</v>
      </c>
      <c r="AH83">
        <v>2048</v>
      </c>
      <c r="AI83">
        <v>2049</v>
      </c>
      <c r="AJ83">
        <v>2050</v>
      </c>
    </row>
    <row r="84" spans="1:37" x14ac:dyDescent="0.25">
      <c r="A84" t="s">
        <v>462</v>
      </c>
      <c r="B84">
        <f>AB80/'Cross-Page Data'!$D$12*1000</f>
        <v>236.00000000000003</v>
      </c>
      <c r="C84">
        <f>($AB$80-$B$80)/COUNT($C$79:$AB$79)+B84</f>
        <v>236.03076923076927</v>
      </c>
      <c r="D84">
        <f t="shared" ref="D84:AJ84" si="13">($AB$80-$B$80)/COUNT($C$79:$AB$79)+C84</f>
        <v>236.0615384615385</v>
      </c>
      <c r="E84">
        <f t="shared" si="13"/>
        <v>236.09230769230774</v>
      </c>
      <c r="F84">
        <f t="shared" si="13"/>
        <v>236.12307692307698</v>
      </c>
      <c r="G84">
        <f t="shared" si="13"/>
        <v>236.15384615384622</v>
      </c>
      <c r="H84">
        <f t="shared" si="13"/>
        <v>236.18461538461546</v>
      </c>
      <c r="I84">
        <f t="shared" si="13"/>
        <v>236.21538461538469</v>
      </c>
      <c r="J84">
        <f t="shared" si="13"/>
        <v>236.24615384615393</v>
      </c>
      <c r="K84">
        <f t="shared" si="13"/>
        <v>236.27692307692317</v>
      </c>
      <c r="L84">
        <f t="shared" si="13"/>
        <v>236.30769230769241</v>
      </c>
      <c r="M84">
        <f t="shared" si="13"/>
        <v>236.33846153846164</v>
      </c>
      <c r="N84">
        <f t="shared" si="13"/>
        <v>236.36923076923088</v>
      </c>
      <c r="O84">
        <f t="shared" si="13"/>
        <v>236.40000000000012</v>
      </c>
      <c r="P84">
        <f t="shared" si="13"/>
        <v>236.43076923076936</v>
      </c>
      <c r="Q84">
        <f t="shared" si="13"/>
        <v>236.46153846153859</v>
      </c>
      <c r="R84">
        <f t="shared" si="13"/>
        <v>236.49230769230783</v>
      </c>
      <c r="S84">
        <f t="shared" si="13"/>
        <v>236.52307692307707</v>
      </c>
      <c r="T84">
        <f t="shared" si="13"/>
        <v>236.55384615384631</v>
      </c>
      <c r="U84">
        <f t="shared" si="13"/>
        <v>236.58461538461555</v>
      </c>
      <c r="V84">
        <f t="shared" si="13"/>
        <v>236.61538461538478</v>
      </c>
      <c r="W84">
        <f t="shared" si="13"/>
        <v>236.64615384615402</v>
      </c>
      <c r="X84">
        <f t="shared" si="13"/>
        <v>236.67692307692326</v>
      </c>
      <c r="Y84">
        <f t="shared" si="13"/>
        <v>236.7076923076925</v>
      </c>
      <c r="Z84">
        <f t="shared" si="13"/>
        <v>236.73846153846173</v>
      </c>
      <c r="AA84">
        <f t="shared" si="13"/>
        <v>236.76923076923097</v>
      </c>
      <c r="AB84">
        <f t="shared" si="13"/>
        <v>236.80000000000021</v>
      </c>
      <c r="AC84">
        <f t="shared" si="13"/>
        <v>236.83076923076945</v>
      </c>
      <c r="AD84">
        <f t="shared" si="13"/>
        <v>236.86153846153869</v>
      </c>
      <c r="AE84">
        <f t="shared" si="13"/>
        <v>236.89230769230792</v>
      </c>
      <c r="AF84">
        <f t="shared" si="13"/>
        <v>236.92307692307716</v>
      </c>
      <c r="AG84">
        <f t="shared" si="13"/>
        <v>236.9538461538464</v>
      </c>
      <c r="AH84">
        <f t="shared" si="13"/>
        <v>236.98461538461564</v>
      </c>
      <c r="AI84">
        <f t="shared" si="13"/>
        <v>237.01538461538487</v>
      </c>
      <c r="AJ84">
        <f t="shared" si="13"/>
        <v>237.04615384615411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E204"/>
  <sheetViews>
    <sheetView topLeftCell="A112" workbookViewId="0">
      <selection activeCell="A82" sqref="A82"/>
    </sheetView>
  </sheetViews>
  <sheetFormatPr defaultRowHeight="15" x14ac:dyDescent="0.25"/>
  <cols>
    <col min="1" max="1" width="28" customWidth="1"/>
    <col min="2" max="2" width="16.140625" customWidth="1"/>
    <col min="3" max="3" width="18.140625" customWidth="1"/>
    <col min="4" max="4" width="16.85546875" customWidth="1"/>
    <col min="5" max="26" width="9.140625" hidden="1" customWidth="1"/>
    <col min="28" max="28" width="25.5703125" bestFit="1" customWidth="1"/>
    <col min="30" max="30" width="27.7109375" customWidth="1"/>
  </cols>
  <sheetData>
    <row r="1" spans="1:4" x14ac:dyDescent="0.25">
      <c r="A1" s="55" t="s">
        <v>727</v>
      </c>
      <c r="B1" s="55"/>
      <c r="C1" s="55"/>
      <c r="D1" s="58"/>
    </row>
    <row r="2" spans="1:4" x14ac:dyDescent="0.25">
      <c r="A2" t="s">
        <v>877</v>
      </c>
      <c r="B2" t="s">
        <v>1728</v>
      </c>
      <c r="C2" t="s">
        <v>1729</v>
      </c>
      <c r="D2" t="s">
        <v>1730</v>
      </c>
    </row>
    <row r="3" spans="1:4" x14ac:dyDescent="0.25">
      <c r="A3" t="s">
        <v>865</v>
      </c>
      <c r="B3" s="135">
        <v>1</v>
      </c>
      <c r="C3" s="135">
        <v>1</v>
      </c>
      <c r="D3">
        <v>1</v>
      </c>
    </row>
    <row r="4" spans="1:4" x14ac:dyDescent="0.25">
      <c r="A4" t="s">
        <v>866</v>
      </c>
      <c r="B4" s="135">
        <v>16.2</v>
      </c>
      <c r="C4" s="135">
        <v>5</v>
      </c>
    </row>
    <row r="5" spans="1:4" x14ac:dyDescent="0.25">
      <c r="A5" t="s">
        <v>867</v>
      </c>
      <c r="B5" s="135">
        <v>5.6</v>
      </c>
      <c r="C5" s="135">
        <v>1.8</v>
      </c>
    </row>
    <row r="6" spans="1:4" x14ac:dyDescent="0.25">
      <c r="A6" t="s">
        <v>868</v>
      </c>
      <c r="B6" s="135">
        <v>-2.4</v>
      </c>
      <c r="C6" s="135">
        <v>-8.1999999999999993</v>
      </c>
    </row>
    <row r="7" spans="1:4" x14ac:dyDescent="0.25">
      <c r="A7" t="s">
        <v>869</v>
      </c>
      <c r="B7" s="135">
        <v>0</v>
      </c>
      <c r="C7" s="135">
        <v>0</v>
      </c>
    </row>
    <row r="8" spans="1:4" x14ac:dyDescent="0.25">
      <c r="A8" t="s">
        <v>870</v>
      </c>
      <c r="B8" s="135">
        <v>0</v>
      </c>
      <c r="C8" s="135">
        <v>0</v>
      </c>
    </row>
    <row r="9" spans="1:4" x14ac:dyDescent="0.25">
      <c r="A9" t="s">
        <v>871</v>
      </c>
      <c r="B9" s="135">
        <v>0</v>
      </c>
      <c r="C9" s="135">
        <v>0</v>
      </c>
    </row>
    <row r="10" spans="1:4" x14ac:dyDescent="0.25">
      <c r="A10" t="s">
        <v>872</v>
      </c>
      <c r="B10" s="135">
        <v>1200</v>
      </c>
      <c r="C10" s="135">
        <v>345</v>
      </c>
    </row>
    <row r="11" spans="1:4" x14ac:dyDescent="0.25">
      <c r="A11" t="s">
        <v>873</v>
      </c>
      <c r="B11" s="135">
        <v>-160</v>
      </c>
      <c r="C11" s="135">
        <v>-46</v>
      </c>
    </row>
    <row r="12" spans="1:4" x14ac:dyDescent="0.25">
      <c r="A12" t="s">
        <v>874</v>
      </c>
      <c r="B12" s="135">
        <v>84</v>
      </c>
      <c r="C12" s="135">
        <v>28</v>
      </c>
      <c r="D12">
        <v>25</v>
      </c>
    </row>
    <row r="13" spans="1:4" x14ac:dyDescent="0.25">
      <c r="A13" t="s">
        <v>875</v>
      </c>
      <c r="B13" s="135">
        <v>264</v>
      </c>
      <c r="C13" s="135">
        <v>265</v>
      </c>
      <c r="D13">
        <v>298</v>
      </c>
    </row>
    <row r="14" spans="1:4" x14ac:dyDescent="0.25">
      <c r="A14" t="s">
        <v>876</v>
      </c>
      <c r="B14" s="135">
        <v>1</v>
      </c>
      <c r="C14" s="135">
        <f>'Cross-Page Data'!BE186+'Cross-Page Data'!BE189</f>
        <v>3.3</v>
      </c>
    </row>
    <row r="15" spans="1:4" x14ac:dyDescent="0.25">
      <c r="A15" t="s">
        <v>1532</v>
      </c>
      <c r="B15" s="135">
        <v>17500</v>
      </c>
      <c r="C15" s="135">
        <v>23500</v>
      </c>
      <c r="D15">
        <v>22800</v>
      </c>
    </row>
    <row r="16" spans="1:4" x14ac:dyDescent="0.25">
      <c r="A16" t="s">
        <v>639</v>
      </c>
      <c r="B16" s="135">
        <v>10800</v>
      </c>
      <c r="C16" s="135">
        <v>12400</v>
      </c>
      <c r="D16">
        <v>14800</v>
      </c>
    </row>
    <row r="18" spans="1:57" x14ac:dyDescent="0.25">
      <c r="A18" s="55" t="s">
        <v>1535</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C18" t="s">
        <v>1914</v>
      </c>
    </row>
    <row r="19" spans="1:57" x14ac:dyDescent="0.25">
      <c r="A19" s="28" t="s">
        <v>1534</v>
      </c>
      <c r="B19" s="29"/>
      <c r="C19" s="29"/>
      <c r="D19" s="29"/>
      <c r="E19" s="29"/>
      <c r="F19" s="29"/>
      <c r="G19" s="29"/>
      <c r="H19" s="29"/>
      <c r="I19" s="29"/>
      <c r="J19" s="29"/>
    </row>
    <row r="20" spans="1:57" x14ac:dyDescent="0.25">
      <c r="A20" s="22" t="s">
        <v>1463</v>
      </c>
      <c r="B20">
        <v>1990</v>
      </c>
      <c r="C20">
        <v>1991</v>
      </c>
      <c r="D20">
        <v>1992</v>
      </c>
      <c r="E20">
        <v>1993</v>
      </c>
      <c r="F20">
        <v>1994</v>
      </c>
      <c r="G20">
        <v>1995</v>
      </c>
      <c r="H20">
        <v>1996</v>
      </c>
      <c r="I20">
        <v>1997</v>
      </c>
      <c r="J20">
        <v>1998</v>
      </c>
      <c r="K20">
        <v>1999</v>
      </c>
      <c r="L20">
        <v>2000</v>
      </c>
      <c r="M20">
        <v>2001</v>
      </c>
      <c r="N20">
        <v>2002</v>
      </c>
      <c r="O20">
        <v>2003</v>
      </c>
      <c r="P20">
        <v>2004</v>
      </c>
      <c r="Q20">
        <v>2005</v>
      </c>
      <c r="R20">
        <v>2006</v>
      </c>
      <c r="S20">
        <v>2007</v>
      </c>
      <c r="T20">
        <v>2008</v>
      </c>
      <c r="U20">
        <v>2009</v>
      </c>
      <c r="V20">
        <v>2010</v>
      </c>
      <c r="W20">
        <v>2011</v>
      </c>
      <c r="X20">
        <v>2012</v>
      </c>
      <c r="Y20">
        <v>2013</v>
      </c>
      <c r="Z20">
        <v>2014</v>
      </c>
      <c r="AA20">
        <v>2015</v>
      </c>
      <c r="AD20" t="s">
        <v>1915</v>
      </c>
      <c r="AE20">
        <v>1990</v>
      </c>
      <c r="AF20">
        <v>1991</v>
      </c>
      <c r="AG20">
        <v>1992</v>
      </c>
      <c r="AH20">
        <v>1993</v>
      </c>
      <c r="AI20">
        <v>1994</v>
      </c>
      <c r="AJ20">
        <v>1995</v>
      </c>
      <c r="AK20">
        <v>1996</v>
      </c>
      <c r="AL20">
        <v>1997</v>
      </c>
      <c r="AM20">
        <v>1998</v>
      </c>
      <c r="AN20">
        <v>1999</v>
      </c>
      <c r="AO20">
        <v>2000</v>
      </c>
      <c r="AP20">
        <v>2001</v>
      </c>
      <c r="AQ20">
        <v>2002</v>
      </c>
      <c r="AR20">
        <v>2003</v>
      </c>
      <c r="AS20">
        <v>2004</v>
      </c>
      <c r="AT20">
        <v>2005</v>
      </c>
      <c r="AU20">
        <v>2006</v>
      </c>
      <c r="AV20">
        <v>2007</v>
      </c>
      <c r="AW20">
        <v>2008</v>
      </c>
      <c r="AX20">
        <v>2009</v>
      </c>
      <c r="AY20">
        <v>2010</v>
      </c>
      <c r="AZ20">
        <v>2011</v>
      </c>
      <c r="BA20">
        <v>2012</v>
      </c>
      <c r="BB20">
        <v>2013</v>
      </c>
      <c r="BC20">
        <v>2014</v>
      </c>
      <c r="BD20">
        <v>2015</v>
      </c>
      <c r="BE20">
        <v>2016</v>
      </c>
    </row>
    <row r="21" spans="1:57" x14ac:dyDescent="0.25">
      <c r="A21" s="105" t="s">
        <v>1464</v>
      </c>
      <c r="B21" s="62">
        <v>5123043</v>
      </c>
      <c r="C21" s="62">
        <v>5073493</v>
      </c>
      <c r="D21" s="62">
        <v>5178583</v>
      </c>
      <c r="E21" s="62">
        <v>5292610</v>
      </c>
      <c r="F21" s="62">
        <v>5385917</v>
      </c>
      <c r="G21" s="62">
        <v>5450306</v>
      </c>
      <c r="H21" s="62">
        <v>5636297</v>
      </c>
      <c r="I21" s="62">
        <v>5713363</v>
      </c>
      <c r="J21" s="62">
        <v>5753825</v>
      </c>
      <c r="K21" s="62">
        <v>5834225</v>
      </c>
      <c r="L21" s="62">
        <v>6001356</v>
      </c>
      <c r="M21" s="62">
        <v>5902705</v>
      </c>
      <c r="N21" s="62">
        <v>5943946</v>
      </c>
      <c r="O21" s="62">
        <v>5990730</v>
      </c>
      <c r="P21" s="62">
        <v>6105430</v>
      </c>
      <c r="Q21" s="62">
        <v>6131833</v>
      </c>
      <c r="R21" s="62">
        <v>6051496</v>
      </c>
      <c r="S21" s="62">
        <v>6130624</v>
      </c>
      <c r="T21" s="62">
        <v>5932978</v>
      </c>
      <c r="U21" s="62">
        <v>5495688</v>
      </c>
      <c r="V21" s="62">
        <v>5699930</v>
      </c>
      <c r="W21" s="62">
        <v>5569516</v>
      </c>
      <c r="X21" s="62">
        <v>5362095</v>
      </c>
      <c r="Y21" s="62">
        <v>5514018</v>
      </c>
      <c r="Z21" s="62">
        <v>5565495</v>
      </c>
      <c r="AA21" s="62">
        <v>5411409</v>
      </c>
      <c r="AD21" t="s">
        <v>865</v>
      </c>
      <c r="AE21" s="62">
        <v>5121264</v>
      </c>
      <c r="AF21" s="62">
        <v>5070839</v>
      </c>
      <c r="AG21" s="62">
        <v>5174059</v>
      </c>
      <c r="AH21" s="62">
        <v>5284688</v>
      </c>
      <c r="AI21" s="62">
        <v>5377987</v>
      </c>
      <c r="AJ21" s="62">
        <v>5439213</v>
      </c>
      <c r="AK21" s="62">
        <v>5626187</v>
      </c>
      <c r="AL21" s="62">
        <v>5703891</v>
      </c>
      <c r="AM21" s="62">
        <v>5752324</v>
      </c>
      <c r="AN21" s="62">
        <v>5832250</v>
      </c>
      <c r="AO21" s="62">
        <v>6000606</v>
      </c>
      <c r="AP21" s="62">
        <v>5902455</v>
      </c>
      <c r="AQ21" s="62">
        <v>5943651</v>
      </c>
      <c r="AR21" s="62">
        <v>5991320</v>
      </c>
      <c r="AS21" s="62">
        <v>6106621</v>
      </c>
      <c r="AT21" s="62">
        <v>6132006</v>
      </c>
      <c r="AU21" s="62">
        <v>6052236</v>
      </c>
      <c r="AV21" s="62">
        <v>6130984</v>
      </c>
      <c r="AW21" s="62">
        <v>5932775</v>
      </c>
      <c r="AX21" s="62">
        <v>5495395</v>
      </c>
      <c r="AY21" s="62">
        <v>5701076</v>
      </c>
      <c r="AZ21" s="62">
        <v>5570707</v>
      </c>
      <c r="BA21" s="62">
        <v>5366730</v>
      </c>
      <c r="BB21" s="62">
        <v>5519613</v>
      </c>
      <c r="BC21" s="62">
        <v>5568759</v>
      </c>
      <c r="BD21" s="62">
        <v>5420804</v>
      </c>
      <c r="BE21" s="62">
        <v>5310861</v>
      </c>
    </row>
    <row r="22" spans="1:57" x14ac:dyDescent="0.25">
      <c r="A22" s="20" t="s">
        <v>1465</v>
      </c>
      <c r="B22" s="62">
        <v>4740343</v>
      </c>
      <c r="C22" s="62">
        <v>4690088</v>
      </c>
      <c r="D22" s="62">
        <v>4793073</v>
      </c>
      <c r="E22" s="62">
        <v>4915094</v>
      </c>
      <c r="F22" s="62">
        <v>4989973</v>
      </c>
      <c r="G22" s="62">
        <v>5040997</v>
      </c>
      <c r="H22" s="62">
        <v>5232351</v>
      </c>
      <c r="I22" s="62">
        <v>5296694</v>
      </c>
      <c r="J22" s="62">
        <v>5333484</v>
      </c>
      <c r="K22" s="62">
        <v>5400842</v>
      </c>
      <c r="L22" s="62">
        <v>5593706</v>
      </c>
      <c r="M22" s="62">
        <v>5524952</v>
      </c>
      <c r="N22" s="62">
        <v>5560586</v>
      </c>
      <c r="O22" s="62">
        <v>5619753</v>
      </c>
      <c r="P22" s="62">
        <v>5709058</v>
      </c>
      <c r="Q22" s="62">
        <v>5746942</v>
      </c>
      <c r="R22" s="62">
        <v>5660261</v>
      </c>
      <c r="S22" s="62">
        <v>5753016</v>
      </c>
      <c r="T22" s="62">
        <v>5566614</v>
      </c>
      <c r="U22" s="62">
        <v>5193156</v>
      </c>
      <c r="V22" s="62">
        <v>5359360</v>
      </c>
      <c r="W22" s="62">
        <v>5227061</v>
      </c>
      <c r="X22" s="62">
        <v>5024643</v>
      </c>
      <c r="Y22" s="62">
        <v>5156523</v>
      </c>
      <c r="Z22" s="62">
        <v>5202300</v>
      </c>
      <c r="AA22" s="62">
        <v>5049763</v>
      </c>
      <c r="AC22" s="20"/>
      <c r="AD22" t="s">
        <v>1916</v>
      </c>
      <c r="AE22" s="62">
        <v>4740344</v>
      </c>
      <c r="AF22" s="62">
        <v>4690088</v>
      </c>
      <c r="AG22" s="62">
        <v>4793073</v>
      </c>
      <c r="AH22" s="62">
        <v>4915094</v>
      </c>
      <c r="AI22" s="62">
        <v>4989973</v>
      </c>
      <c r="AJ22" s="62">
        <v>5040997</v>
      </c>
      <c r="AK22" s="62">
        <v>5232351</v>
      </c>
      <c r="AL22" s="62">
        <v>5296694</v>
      </c>
      <c r="AM22" s="62">
        <v>5333484</v>
      </c>
      <c r="AN22" s="62">
        <v>5400842</v>
      </c>
      <c r="AO22" s="62">
        <v>5593706</v>
      </c>
      <c r="AP22" s="62">
        <v>5524952</v>
      </c>
      <c r="AQ22" s="62">
        <v>5560586</v>
      </c>
      <c r="AR22" s="62">
        <v>5619753</v>
      </c>
      <c r="AS22" s="62">
        <v>5709058</v>
      </c>
      <c r="AT22" s="62">
        <v>5746942</v>
      </c>
      <c r="AU22" s="62">
        <v>5660261</v>
      </c>
      <c r="AV22" s="62">
        <v>5753016</v>
      </c>
      <c r="AW22" s="62">
        <v>5566614</v>
      </c>
      <c r="AX22" s="62">
        <v>5193156</v>
      </c>
      <c r="AY22" s="62">
        <v>5359334</v>
      </c>
      <c r="AZ22" s="62">
        <v>5227359</v>
      </c>
      <c r="BA22" s="62">
        <v>5024373</v>
      </c>
      <c r="BB22" s="62">
        <v>5156898</v>
      </c>
      <c r="BC22" s="62">
        <v>5200297</v>
      </c>
      <c r="BD22" s="62">
        <v>5049254</v>
      </c>
      <c r="BE22" s="62">
        <v>4966049</v>
      </c>
    </row>
    <row r="23" spans="1:57" x14ac:dyDescent="0.25">
      <c r="A23" s="330" t="s">
        <v>1466</v>
      </c>
      <c r="B23" s="62">
        <v>1820818</v>
      </c>
      <c r="C23" s="62">
        <v>1818193</v>
      </c>
      <c r="D23" s="62">
        <v>1831539</v>
      </c>
      <c r="E23" s="62">
        <v>1906905</v>
      </c>
      <c r="F23" s="62">
        <v>1931232</v>
      </c>
      <c r="G23" s="62">
        <v>1947918</v>
      </c>
      <c r="H23" s="62">
        <v>2020987</v>
      </c>
      <c r="I23" s="62">
        <v>2088393</v>
      </c>
      <c r="J23" s="62">
        <v>2177378</v>
      </c>
      <c r="K23" s="62">
        <v>2190513</v>
      </c>
      <c r="L23" s="62">
        <v>2296877</v>
      </c>
      <c r="M23" s="62">
        <v>2257913</v>
      </c>
      <c r="N23" s="62">
        <v>2272671</v>
      </c>
      <c r="O23" s="62">
        <v>2304158</v>
      </c>
      <c r="P23" s="62">
        <v>2335886</v>
      </c>
      <c r="Q23" s="62">
        <v>2400874</v>
      </c>
      <c r="R23" s="62">
        <v>2345281</v>
      </c>
      <c r="S23" s="62">
        <v>2411895</v>
      </c>
      <c r="T23" s="62">
        <v>2360081</v>
      </c>
      <c r="U23" s="62">
        <v>2145658</v>
      </c>
      <c r="V23" s="62">
        <v>2258399</v>
      </c>
      <c r="W23" s="62">
        <v>2157688</v>
      </c>
      <c r="X23" s="62">
        <v>2022181</v>
      </c>
      <c r="Y23" s="62">
        <v>2038122</v>
      </c>
      <c r="Z23" s="62">
        <v>2038018</v>
      </c>
      <c r="AA23" s="62">
        <v>1900673</v>
      </c>
      <c r="AC23" s="330"/>
      <c r="AD23" t="s">
        <v>1917</v>
      </c>
      <c r="AE23" s="62">
        <v>1820818</v>
      </c>
      <c r="AF23" s="62">
        <v>1818193</v>
      </c>
      <c r="AG23" s="62">
        <v>1831539</v>
      </c>
      <c r="AH23" s="62">
        <v>1906905</v>
      </c>
      <c r="AI23" s="62">
        <v>1931232</v>
      </c>
      <c r="AJ23" s="62">
        <v>1947918</v>
      </c>
      <c r="AK23" s="62">
        <v>2020987</v>
      </c>
      <c r="AL23" s="62">
        <v>2088393</v>
      </c>
      <c r="AM23" s="62">
        <v>2177378</v>
      </c>
      <c r="AN23" s="62">
        <v>2190513</v>
      </c>
      <c r="AO23" s="62">
        <v>2296877</v>
      </c>
      <c r="AP23" s="62">
        <v>2257913</v>
      </c>
      <c r="AQ23" s="62">
        <v>2272671</v>
      </c>
      <c r="AR23" s="62">
        <v>2304158</v>
      </c>
      <c r="AS23" s="62">
        <v>2335886</v>
      </c>
      <c r="AT23" s="62">
        <v>2400874</v>
      </c>
      <c r="AU23" s="62">
        <v>2345281</v>
      </c>
      <c r="AV23" s="62">
        <v>2411895</v>
      </c>
      <c r="AW23" s="62">
        <v>2360081</v>
      </c>
      <c r="AX23" s="62">
        <v>2145658</v>
      </c>
      <c r="AY23" s="62">
        <v>2258399</v>
      </c>
      <c r="AZ23" s="62">
        <v>2157688</v>
      </c>
      <c r="BA23" s="62">
        <v>2022181</v>
      </c>
      <c r="BB23" s="62">
        <v>2038122</v>
      </c>
      <c r="BC23" s="62">
        <v>2038018</v>
      </c>
      <c r="BD23" s="62">
        <v>1900673</v>
      </c>
      <c r="BE23" s="62">
        <v>1809252</v>
      </c>
    </row>
    <row r="24" spans="1:57" x14ac:dyDescent="0.25">
      <c r="A24" s="30" t="s">
        <v>1467</v>
      </c>
      <c r="B24" s="62">
        <v>1493758</v>
      </c>
      <c r="C24" s="62">
        <v>1447602</v>
      </c>
      <c r="D24" s="62">
        <v>1496852</v>
      </c>
      <c r="E24" s="62">
        <v>1532412</v>
      </c>
      <c r="F24" s="62">
        <v>1576980</v>
      </c>
      <c r="G24" s="62">
        <v>1609862</v>
      </c>
      <c r="H24" s="62">
        <v>1654302</v>
      </c>
      <c r="I24" s="62">
        <v>1670141</v>
      </c>
      <c r="J24" s="62">
        <v>1706636</v>
      </c>
      <c r="K24" s="62">
        <v>1761057</v>
      </c>
      <c r="L24" s="62">
        <v>1805460</v>
      </c>
      <c r="M24" s="62">
        <v>1789429</v>
      </c>
      <c r="N24" s="62">
        <v>1830641</v>
      </c>
      <c r="O24" s="62">
        <v>1822261</v>
      </c>
      <c r="P24" s="62">
        <v>1867141</v>
      </c>
      <c r="Q24" s="62">
        <v>1887033</v>
      </c>
      <c r="R24" s="62">
        <v>1882633</v>
      </c>
      <c r="S24" s="62">
        <v>1886065</v>
      </c>
      <c r="T24" s="62">
        <v>1791798</v>
      </c>
      <c r="U24" s="62">
        <v>1716966</v>
      </c>
      <c r="V24" s="62">
        <v>1728267</v>
      </c>
      <c r="W24" s="62">
        <v>1707631</v>
      </c>
      <c r="X24" s="62">
        <v>1696752</v>
      </c>
      <c r="Y24" s="62">
        <v>1713002</v>
      </c>
      <c r="Z24" s="62">
        <v>1742814</v>
      </c>
      <c r="AA24" s="62">
        <v>1736383</v>
      </c>
      <c r="AC24" s="30"/>
      <c r="AD24" t="s">
        <v>296</v>
      </c>
      <c r="AE24" s="62">
        <v>1467564</v>
      </c>
      <c r="AF24" s="62">
        <v>1420915</v>
      </c>
      <c r="AG24" s="62">
        <v>1476326</v>
      </c>
      <c r="AH24" s="62">
        <v>1510194</v>
      </c>
      <c r="AI24" s="62">
        <v>1555692</v>
      </c>
      <c r="AJ24" s="62">
        <v>1581878</v>
      </c>
      <c r="AK24" s="62">
        <v>1627349</v>
      </c>
      <c r="AL24" s="62">
        <v>1644163</v>
      </c>
      <c r="AM24" s="62">
        <v>1679999</v>
      </c>
      <c r="AN24" s="62">
        <v>1747409</v>
      </c>
      <c r="AO24" s="62">
        <v>1780740</v>
      </c>
      <c r="AP24" s="62">
        <v>1760124</v>
      </c>
      <c r="AQ24" s="62">
        <v>1800790</v>
      </c>
      <c r="AR24" s="62">
        <v>1791943</v>
      </c>
      <c r="AS24" s="62">
        <v>1836293</v>
      </c>
      <c r="AT24" s="62">
        <v>1855751</v>
      </c>
      <c r="AU24" s="62">
        <v>1850728</v>
      </c>
      <c r="AV24" s="62">
        <v>1853627</v>
      </c>
      <c r="AW24" s="62">
        <v>1759064</v>
      </c>
      <c r="AX24" s="62">
        <v>1683728</v>
      </c>
      <c r="AY24" s="62">
        <v>1694535</v>
      </c>
      <c r="AZ24" s="62">
        <v>1673342</v>
      </c>
      <c r="BA24" s="62">
        <v>1661895</v>
      </c>
      <c r="BB24" s="62">
        <v>1677593</v>
      </c>
      <c r="BC24" s="62">
        <v>1717132</v>
      </c>
      <c r="BD24" s="62">
        <v>1735469</v>
      </c>
      <c r="BE24" s="62">
        <v>1782585</v>
      </c>
    </row>
    <row r="25" spans="1:57" x14ac:dyDescent="0.25">
      <c r="A25" s="30" t="s">
        <v>1468</v>
      </c>
      <c r="B25" s="62">
        <v>842473</v>
      </c>
      <c r="C25" s="62">
        <v>822469</v>
      </c>
      <c r="D25" s="62">
        <v>857427</v>
      </c>
      <c r="E25" s="62">
        <v>855684</v>
      </c>
      <c r="F25" s="62">
        <v>864810</v>
      </c>
      <c r="G25" s="62">
        <v>870508</v>
      </c>
      <c r="H25" s="62">
        <v>907398</v>
      </c>
      <c r="I25" s="62">
        <v>906829</v>
      </c>
      <c r="J25" s="62">
        <v>869070</v>
      </c>
      <c r="K25" s="62">
        <v>845933</v>
      </c>
      <c r="L25" s="62">
        <v>854092</v>
      </c>
      <c r="M25" s="62">
        <v>842953</v>
      </c>
      <c r="N25" s="62">
        <v>829811</v>
      </c>
      <c r="O25" s="62">
        <v>829611</v>
      </c>
      <c r="P25" s="62">
        <v>852323</v>
      </c>
      <c r="Q25" s="62">
        <v>827999</v>
      </c>
      <c r="R25" s="62">
        <v>852568</v>
      </c>
      <c r="S25" s="62">
        <v>847899</v>
      </c>
      <c r="T25" s="62">
        <v>802829</v>
      </c>
      <c r="U25" s="62">
        <v>727696</v>
      </c>
      <c r="V25" s="62">
        <v>775535</v>
      </c>
      <c r="W25" s="62">
        <v>774951</v>
      </c>
      <c r="X25" s="62">
        <v>782929</v>
      </c>
      <c r="Y25" s="62">
        <v>812228</v>
      </c>
      <c r="Z25" s="62">
        <v>806075</v>
      </c>
      <c r="AA25" s="62">
        <v>805496</v>
      </c>
      <c r="AC25" s="30"/>
      <c r="AD25" t="s">
        <v>1592</v>
      </c>
      <c r="AE25" s="62">
        <v>858840</v>
      </c>
      <c r="AF25" s="62">
        <v>841001</v>
      </c>
      <c r="AG25" s="62">
        <v>871987</v>
      </c>
      <c r="AH25" s="62">
        <v>874758</v>
      </c>
      <c r="AI25" s="62">
        <v>883631</v>
      </c>
      <c r="AJ25" s="62">
        <v>896169</v>
      </c>
      <c r="AK25" s="62">
        <v>931192</v>
      </c>
      <c r="AL25" s="62">
        <v>928447</v>
      </c>
      <c r="AM25" s="62">
        <v>891354</v>
      </c>
      <c r="AN25" s="62">
        <v>857427</v>
      </c>
      <c r="AO25" s="62">
        <v>873160</v>
      </c>
      <c r="AP25" s="62">
        <v>868958</v>
      </c>
      <c r="AQ25" s="62">
        <v>855858</v>
      </c>
      <c r="AR25" s="62">
        <v>855198</v>
      </c>
      <c r="AS25" s="62">
        <v>879865</v>
      </c>
      <c r="AT25" s="62">
        <v>855719</v>
      </c>
      <c r="AU25" s="62">
        <v>880818</v>
      </c>
      <c r="AV25" s="62">
        <v>874935</v>
      </c>
      <c r="AW25" s="62">
        <v>830501</v>
      </c>
      <c r="AX25" s="62">
        <v>754982</v>
      </c>
      <c r="AY25" s="62">
        <v>803627</v>
      </c>
      <c r="AZ25" s="62">
        <v>804395</v>
      </c>
      <c r="BA25" s="62">
        <v>812945</v>
      </c>
      <c r="BB25" s="62">
        <v>843252</v>
      </c>
      <c r="BC25" s="62">
        <v>824929</v>
      </c>
      <c r="BD25" s="62">
        <v>809495</v>
      </c>
      <c r="BE25" s="62">
        <v>809062</v>
      </c>
    </row>
    <row r="26" spans="1:57" x14ac:dyDescent="0.25">
      <c r="A26" s="330" t="s">
        <v>1469</v>
      </c>
      <c r="B26" s="62">
        <v>338347</v>
      </c>
      <c r="C26" s="62">
        <v>347182</v>
      </c>
      <c r="D26" s="62">
        <v>353479</v>
      </c>
      <c r="E26" s="62">
        <v>365803</v>
      </c>
      <c r="F26" s="62">
        <v>356791</v>
      </c>
      <c r="G26" s="62">
        <v>352829</v>
      </c>
      <c r="H26" s="62">
        <v>383072</v>
      </c>
      <c r="I26" s="62">
        <v>364686</v>
      </c>
      <c r="J26" s="62">
        <v>331243</v>
      </c>
      <c r="K26" s="62">
        <v>350590</v>
      </c>
      <c r="L26" s="62">
        <v>370810</v>
      </c>
      <c r="M26" s="62">
        <v>362168</v>
      </c>
      <c r="N26" s="62">
        <v>359978</v>
      </c>
      <c r="O26" s="62">
        <v>378944</v>
      </c>
      <c r="P26" s="62">
        <v>367442</v>
      </c>
      <c r="Q26" s="62">
        <v>357834</v>
      </c>
      <c r="R26" s="62">
        <v>321320</v>
      </c>
      <c r="S26" s="62">
        <v>341286</v>
      </c>
      <c r="T26" s="62">
        <v>347621</v>
      </c>
      <c r="U26" s="62">
        <v>336272</v>
      </c>
      <c r="V26" s="62">
        <v>334587</v>
      </c>
      <c r="W26" s="62">
        <v>325537</v>
      </c>
      <c r="X26" s="62">
        <v>282540</v>
      </c>
      <c r="Y26" s="62">
        <v>329674</v>
      </c>
      <c r="Z26" s="62">
        <v>345362</v>
      </c>
      <c r="AA26" s="62">
        <v>319591</v>
      </c>
      <c r="AC26" s="330"/>
      <c r="AD26" t="s">
        <v>911</v>
      </c>
      <c r="AE26" s="62">
        <v>338347</v>
      </c>
      <c r="AF26" s="62">
        <v>347182</v>
      </c>
      <c r="AG26" s="62">
        <v>353479</v>
      </c>
      <c r="AH26" s="62">
        <v>365803</v>
      </c>
      <c r="AI26" s="62">
        <v>356791</v>
      </c>
      <c r="AJ26" s="62">
        <v>352829</v>
      </c>
      <c r="AK26" s="62">
        <v>383072</v>
      </c>
      <c r="AL26" s="62">
        <v>364686</v>
      </c>
      <c r="AM26" s="62">
        <v>331243</v>
      </c>
      <c r="AN26" s="62">
        <v>350590</v>
      </c>
      <c r="AO26" s="62">
        <v>370810</v>
      </c>
      <c r="AP26" s="62">
        <v>362168</v>
      </c>
      <c r="AQ26" s="62">
        <v>359978</v>
      </c>
      <c r="AR26" s="62">
        <v>378944</v>
      </c>
      <c r="AS26" s="62">
        <v>367442</v>
      </c>
      <c r="AT26" s="62">
        <v>357834</v>
      </c>
      <c r="AU26" s="62">
        <v>321320</v>
      </c>
      <c r="AV26" s="62">
        <v>341286</v>
      </c>
      <c r="AW26" s="62">
        <v>347621</v>
      </c>
      <c r="AX26" s="62">
        <v>336272</v>
      </c>
      <c r="AY26" s="62">
        <v>334587</v>
      </c>
      <c r="AZ26" s="62">
        <v>325600</v>
      </c>
      <c r="BA26" s="62">
        <v>282501</v>
      </c>
      <c r="BB26" s="62">
        <v>329742</v>
      </c>
      <c r="BC26" s="62">
        <v>345296</v>
      </c>
      <c r="BD26" s="62">
        <v>316821</v>
      </c>
      <c r="BE26" s="62">
        <v>292501</v>
      </c>
    </row>
    <row r="27" spans="1:57" x14ac:dyDescent="0.25">
      <c r="A27" s="30" t="s">
        <v>1470</v>
      </c>
      <c r="B27" s="62">
        <v>217393</v>
      </c>
      <c r="C27" s="62">
        <v>223255</v>
      </c>
      <c r="D27" s="62">
        <v>220641</v>
      </c>
      <c r="E27" s="62">
        <v>220059</v>
      </c>
      <c r="F27" s="62">
        <v>222393</v>
      </c>
      <c r="G27" s="62">
        <v>225565</v>
      </c>
      <c r="H27" s="62">
        <v>234509</v>
      </c>
      <c r="I27" s="62">
        <v>233646</v>
      </c>
      <c r="J27" s="62">
        <v>215932</v>
      </c>
      <c r="K27" s="62">
        <v>218752</v>
      </c>
      <c r="L27" s="62">
        <v>230906</v>
      </c>
      <c r="M27" s="62">
        <v>224995</v>
      </c>
      <c r="N27" s="62">
        <v>225032</v>
      </c>
      <c r="O27" s="62">
        <v>235196</v>
      </c>
      <c r="P27" s="62">
        <v>234241</v>
      </c>
      <c r="Q27" s="62">
        <v>223480</v>
      </c>
      <c r="R27" s="62">
        <v>208565</v>
      </c>
      <c r="S27" s="62">
        <v>218803</v>
      </c>
      <c r="T27" s="62">
        <v>223633</v>
      </c>
      <c r="U27" s="62">
        <v>223457</v>
      </c>
      <c r="V27" s="62">
        <v>220125</v>
      </c>
      <c r="W27" s="62">
        <v>220381</v>
      </c>
      <c r="X27" s="62">
        <v>196714</v>
      </c>
      <c r="Y27" s="62">
        <v>221030</v>
      </c>
      <c r="Z27" s="62">
        <v>228666</v>
      </c>
      <c r="AA27" s="62">
        <v>246241</v>
      </c>
      <c r="AC27" s="30"/>
      <c r="AD27" t="s">
        <v>307</v>
      </c>
      <c r="AE27" s="62">
        <v>227219</v>
      </c>
      <c r="AF27" s="62">
        <v>231409</v>
      </c>
      <c r="AG27" s="62">
        <v>226607</v>
      </c>
      <c r="AH27" s="62">
        <v>223204</v>
      </c>
      <c r="AI27" s="62">
        <v>224860</v>
      </c>
      <c r="AJ27" s="62">
        <v>227888</v>
      </c>
      <c r="AK27" s="62">
        <v>237667</v>
      </c>
      <c r="AL27" s="62">
        <v>238006</v>
      </c>
      <c r="AM27" s="62">
        <v>220285</v>
      </c>
      <c r="AN27" s="62">
        <v>220906</v>
      </c>
      <c r="AO27" s="62">
        <v>236559</v>
      </c>
      <c r="AP27" s="62">
        <v>228295</v>
      </c>
      <c r="AQ27" s="62">
        <v>228835</v>
      </c>
      <c r="AR27" s="62">
        <v>239927</v>
      </c>
      <c r="AS27" s="62">
        <v>237548</v>
      </c>
      <c r="AT27" s="62">
        <v>227041</v>
      </c>
      <c r="AU27" s="62">
        <v>212220</v>
      </c>
      <c r="AV27" s="62">
        <v>224206</v>
      </c>
      <c r="AW27" s="62">
        <v>228695</v>
      </c>
      <c r="AX27" s="62">
        <v>229410</v>
      </c>
      <c r="AY27" s="62">
        <v>225740</v>
      </c>
      <c r="AZ27" s="62">
        <v>225461</v>
      </c>
      <c r="BA27" s="62">
        <v>201325</v>
      </c>
      <c r="BB27" s="62">
        <v>225722</v>
      </c>
      <c r="BC27" s="62">
        <v>233557</v>
      </c>
      <c r="BD27" s="62">
        <v>245416</v>
      </c>
      <c r="BE27" s="62">
        <v>231269</v>
      </c>
    </row>
    <row r="28" spans="1:57" x14ac:dyDescent="0.25">
      <c r="A28" s="330" t="s">
        <v>1471</v>
      </c>
      <c r="B28" s="62">
        <v>27555</v>
      </c>
      <c r="C28" s="62">
        <v>31388</v>
      </c>
      <c r="D28" s="62">
        <v>33135</v>
      </c>
      <c r="E28" s="62">
        <v>34232</v>
      </c>
      <c r="F28" s="62">
        <v>37766</v>
      </c>
      <c r="G28" s="62">
        <v>34314</v>
      </c>
      <c r="H28" s="62">
        <v>32083</v>
      </c>
      <c r="I28" s="62">
        <v>33000</v>
      </c>
      <c r="J28" s="62">
        <v>33226</v>
      </c>
      <c r="K28" s="62">
        <v>33996</v>
      </c>
      <c r="L28" s="62">
        <v>35560</v>
      </c>
      <c r="M28" s="62">
        <v>47495</v>
      </c>
      <c r="N28" s="62">
        <v>42454</v>
      </c>
      <c r="O28" s="62">
        <v>49584</v>
      </c>
      <c r="P28" s="62">
        <v>52024</v>
      </c>
      <c r="Q28" s="62">
        <v>49723</v>
      </c>
      <c r="R28" s="62">
        <v>49894</v>
      </c>
      <c r="S28" s="62">
        <v>47067</v>
      </c>
      <c r="T28" s="62">
        <v>40652</v>
      </c>
      <c r="U28" s="62">
        <v>43106</v>
      </c>
      <c r="V28" s="62">
        <v>42446</v>
      </c>
      <c r="W28" s="62">
        <v>40874</v>
      </c>
      <c r="X28" s="62">
        <v>43527</v>
      </c>
      <c r="Y28" s="62">
        <v>42467</v>
      </c>
      <c r="Z28" s="62">
        <v>41365</v>
      </c>
      <c r="AA28" s="62">
        <v>41380</v>
      </c>
      <c r="AC28" s="330"/>
      <c r="AD28" t="s">
        <v>1918</v>
      </c>
      <c r="AE28" s="62">
        <v>27555</v>
      </c>
      <c r="AF28" s="62">
        <v>31388</v>
      </c>
      <c r="AG28" s="62">
        <v>33135</v>
      </c>
      <c r="AH28" s="62">
        <v>34232</v>
      </c>
      <c r="AI28" s="62">
        <v>37766</v>
      </c>
      <c r="AJ28" s="62">
        <v>34314</v>
      </c>
      <c r="AK28" s="62">
        <v>32083</v>
      </c>
      <c r="AL28" s="62">
        <v>33000</v>
      </c>
      <c r="AM28" s="62">
        <v>33226</v>
      </c>
      <c r="AN28" s="62">
        <v>33996</v>
      </c>
      <c r="AO28" s="62">
        <v>35560</v>
      </c>
      <c r="AP28" s="62">
        <v>47495</v>
      </c>
      <c r="AQ28" s="62">
        <v>42454</v>
      </c>
      <c r="AR28" s="62">
        <v>49584</v>
      </c>
      <c r="AS28" s="62">
        <v>52024</v>
      </c>
      <c r="AT28" s="62">
        <v>49723</v>
      </c>
      <c r="AU28" s="62">
        <v>49894</v>
      </c>
      <c r="AV28" s="62">
        <v>47067</v>
      </c>
      <c r="AW28" s="62">
        <v>40652</v>
      </c>
      <c r="AX28" s="62">
        <v>43106</v>
      </c>
      <c r="AY28" s="62">
        <v>42446</v>
      </c>
      <c r="AZ28" s="62">
        <v>40874</v>
      </c>
      <c r="BA28" s="62">
        <v>43527</v>
      </c>
      <c r="BB28" s="62">
        <v>42467</v>
      </c>
      <c r="BC28" s="62">
        <v>41365</v>
      </c>
      <c r="BD28" s="62">
        <v>41380</v>
      </c>
      <c r="BE28" s="62">
        <v>41380</v>
      </c>
    </row>
    <row r="29" spans="1:57" x14ac:dyDescent="0.25">
      <c r="A29" s="20" t="s">
        <v>1472</v>
      </c>
      <c r="B29" s="62">
        <v>117585</v>
      </c>
      <c r="C29" s="62">
        <v>127690</v>
      </c>
      <c r="D29" s="62">
        <v>125811</v>
      </c>
      <c r="E29" s="62">
        <v>116326</v>
      </c>
      <c r="F29" s="62">
        <v>125472</v>
      </c>
      <c r="G29" s="62">
        <v>128274</v>
      </c>
      <c r="H29" s="62">
        <v>123777</v>
      </c>
      <c r="I29" s="62">
        <v>132362</v>
      </c>
      <c r="J29" s="62">
        <v>149699</v>
      </c>
      <c r="K29" s="62">
        <v>163012</v>
      </c>
      <c r="L29" s="62">
        <v>140272</v>
      </c>
      <c r="M29" s="62">
        <v>131703</v>
      </c>
      <c r="N29" s="62">
        <v>135216</v>
      </c>
      <c r="O29" s="62">
        <v>128989</v>
      </c>
      <c r="P29" s="62">
        <v>147297</v>
      </c>
      <c r="Q29" s="62">
        <v>138913</v>
      </c>
      <c r="R29" s="62">
        <v>140274</v>
      </c>
      <c r="S29" s="62">
        <v>122852</v>
      </c>
      <c r="T29" s="62">
        <v>125362</v>
      </c>
      <c r="U29" s="62">
        <v>106169</v>
      </c>
      <c r="V29" s="62">
        <v>114294</v>
      </c>
      <c r="W29" s="62">
        <v>109756</v>
      </c>
      <c r="X29" s="62">
        <v>106750</v>
      </c>
      <c r="Y29" s="62">
        <v>123645</v>
      </c>
      <c r="Z29" s="62">
        <v>118995</v>
      </c>
      <c r="AA29" s="62">
        <v>125526</v>
      </c>
      <c r="AC29" s="20"/>
      <c r="AD29" t="s">
        <v>1919</v>
      </c>
      <c r="AE29" s="62">
        <v>119546</v>
      </c>
      <c r="AF29" s="62">
        <v>129654</v>
      </c>
      <c r="AG29" s="62">
        <v>125748</v>
      </c>
      <c r="AH29" s="62">
        <v>116219</v>
      </c>
      <c r="AI29" s="62">
        <v>125411</v>
      </c>
      <c r="AJ29" s="62">
        <v>128258</v>
      </c>
      <c r="AK29" s="62">
        <v>123758</v>
      </c>
      <c r="AL29" s="62">
        <v>132341</v>
      </c>
      <c r="AM29" s="62">
        <v>149675</v>
      </c>
      <c r="AN29" s="62">
        <v>162949</v>
      </c>
      <c r="AO29" s="62">
        <v>140172</v>
      </c>
      <c r="AP29" s="62">
        <v>131652</v>
      </c>
      <c r="AQ29" s="62">
        <v>135171</v>
      </c>
      <c r="AR29" s="62">
        <v>128952</v>
      </c>
      <c r="AS29" s="62">
        <v>147265</v>
      </c>
      <c r="AT29" s="62">
        <v>138885</v>
      </c>
      <c r="AU29" s="62">
        <v>140252</v>
      </c>
      <c r="AV29" s="62">
        <v>122819</v>
      </c>
      <c r="AW29" s="62">
        <v>125342</v>
      </c>
      <c r="AX29" s="62">
        <v>106166</v>
      </c>
      <c r="AY29" s="62">
        <v>114235</v>
      </c>
      <c r="AZ29" s="62">
        <v>109693</v>
      </c>
      <c r="BA29" s="62">
        <v>107987</v>
      </c>
      <c r="BB29" s="62">
        <v>123485</v>
      </c>
      <c r="BC29" s="62">
        <v>118877</v>
      </c>
      <c r="BD29" s="62">
        <v>125634</v>
      </c>
      <c r="BE29" s="62">
        <v>112199</v>
      </c>
    </row>
    <row r="30" spans="1:57" ht="24" x14ac:dyDescent="0.25">
      <c r="A30" s="20" t="s">
        <v>1473</v>
      </c>
      <c r="B30" s="62">
        <v>101487</v>
      </c>
      <c r="C30" s="62">
        <v>92075</v>
      </c>
      <c r="D30" s="62">
        <v>92938</v>
      </c>
      <c r="E30" s="62">
        <v>88944</v>
      </c>
      <c r="F30" s="62">
        <v>91781</v>
      </c>
      <c r="G30" s="62">
        <v>95502</v>
      </c>
      <c r="H30" s="62">
        <v>93599</v>
      </c>
      <c r="I30" s="62">
        <v>94950</v>
      </c>
      <c r="J30" s="62">
        <v>88643</v>
      </c>
      <c r="K30" s="62">
        <v>86440</v>
      </c>
      <c r="L30" s="62">
        <v>88080</v>
      </c>
      <c r="M30" s="62">
        <v>77593</v>
      </c>
      <c r="N30" s="62">
        <v>73726</v>
      </c>
      <c r="O30" s="62">
        <v>70587</v>
      </c>
      <c r="P30" s="62">
        <v>70186</v>
      </c>
      <c r="Q30" s="62">
        <v>68047</v>
      </c>
      <c r="R30" s="62">
        <v>70774</v>
      </c>
      <c r="S30" s="62">
        <v>72541</v>
      </c>
      <c r="T30" s="62">
        <v>68040</v>
      </c>
      <c r="U30" s="62">
        <v>43755</v>
      </c>
      <c r="V30" s="62">
        <v>56753</v>
      </c>
      <c r="W30" s="62">
        <v>61108</v>
      </c>
      <c r="X30" s="62">
        <v>55449</v>
      </c>
      <c r="Y30" s="62">
        <v>53348</v>
      </c>
      <c r="Z30" s="62">
        <v>58629</v>
      </c>
      <c r="AA30" s="62">
        <v>48876</v>
      </c>
      <c r="AC30" s="20"/>
      <c r="AD30" t="s">
        <v>1920</v>
      </c>
      <c r="AE30" s="62">
        <v>101630</v>
      </c>
      <c r="AF30" s="62">
        <v>92242</v>
      </c>
      <c r="AG30" s="62">
        <v>93132</v>
      </c>
      <c r="AH30" s="62">
        <v>89148</v>
      </c>
      <c r="AI30" s="62">
        <v>91996</v>
      </c>
      <c r="AJ30" s="62">
        <v>95765</v>
      </c>
      <c r="AK30" s="62">
        <v>93829</v>
      </c>
      <c r="AL30" s="62">
        <v>95186</v>
      </c>
      <c r="AM30" s="62">
        <v>88887</v>
      </c>
      <c r="AN30" s="62">
        <v>86778</v>
      </c>
      <c r="AO30" s="62">
        <v>88299</v>
      </c>
      <c r="AP30" s="62">
        <v>77758</v>
      </c>
      <c r="AQ30" s="62">
        <v>73889</v>
      </c>
      <c r="AR30" s="62">
        <v>70723</v>
      </c>
      <c r="AS30" s="62">
        <v>70353</v>
      </c>
      <c r="AT30" s="62">
        <v>68210</v>
      </c>
      <c r="AU30" s="62">
        <v>70938</v>
      </c>
      <c r="AV30" s="62">
        <v>72713</v>
      </c>
      <c r="AW30" s="62">
        <v>68172</v>
      </c>
      <c r="AX30" s="62">
        <v>43845</v>
      </c>
      <c r="AY30" s="62">
        <v>56874</v>
      </c>
      <c r="AZ30" s="62">
        <v>61242</v>
      </c>
      <c r="BA30" s="62">
        <v>55600</v>
      </c>
      <c r="BB30" s="62">
        <v>53471</v>
      </c>
      <c r="BC30" s="62">
        <v>58353</v>
      </c>
      <c r="BD30" s="62">
        <v>47825</v>
      </c>
      <c r="BE30" s="62">
        <v>42306</v>
      </c>
    </row>
    <row r="31" spans="1:57" x14ac:dyDescent="0.25">
      <c r="A31" s="20" t="s">
        <v>1474</v>
      </c>
      <c r="B31" s="62">
        <v>37732</v>
      </c>
      <c r="C31" s="62">
        <v>37951</v>
      </c>
      <c r="D31" s="62">
        <v>37677</v>
      </c>
      <c r="E31" s="62">
        <v>41027</v>
      </c>
      <c r="F31" s="62">
        <v>41089</v>
      </c>
      <c r="G31" s="62">
        <v>42643</v>
      </c>
      <c r="H31" s="62">
        <v>40148</v>
      </c>
      <c r="I31" s="62">
        <v>39700</v>
      </c>
      <c r="J31" s="62">
        <v>29719</v>
      </c>
      <c r="K31" s="62">
        <v>30763</v>
      </c>
      <c r="L31" s="62">
        <v>29870</v>
      </c>
      <c r="M31" s="62">
        <v>29339</v>
      </c>
      <c r="N31" s="62">
        <v>30115</v>
      </c>
      <c r="O31" s="62">
        <v>28950</v>
      </c>
      <c r="P31" s="62">
        <v>28676</v>
      </c>
      <c r="Q31" s="62">
        <v>30076</v>
      </c>
      <c r="R31" s="62">
        <v>30174</v>
      </c>
      <c r="S31" s="62">
        <v>30983</v>
      </c>
      <c r="T31" s="62">
        <v>32774</v>
      </c>
      <c r="U31" s="62">
        <v>32302</v>
      </c>
      <c r="V31" s="62">
        <v>32439</v>
      </c>
      <c r="W31" s="62">
        <v>35662</v>
      </c>
      <c r="X31" s="62">
        <v>35203</v>
      </c>
      <c r="Y31" s="62">
        <v>38457</v>
      </c>
      <c r="Z31" s="62">
        <v>42351</v>
      </c>
      <c r="AA31" s="62">
        <v>42351</v>
      </c>
      <c r="AC31" s="20"/>
      <c r="AD31" t="s">
        <v>1921</v>
      </c>
      <c r="AE31" s="62">
        <v>33484</v>
      </c>
      <c r="AF31" s="62">
        <v>32736</v>
      </c>
      <c r="AG31" s="62">
        <v>32993</v>
      </c>
      <c r="AH31" s="62">
        <v>34838</v>
      </c>
      <c r="AI31" s="62">
        <v>36310</v>
      </c>
      <c r="AJ31" s="62">
        <v>37075</v>
      </c>
      <c r="AK31" s="62">
        <v>37309</v>
      </c>
      <c r="AL31" s="62">
        <v>38561</v>
      </c>
      <c r="AM31" s="62">
        <v>39461</v>
      </c>
      <c r="AN31" s="62">
        <v>40239</v>
      </c>
      <c r="AO31" s="62">
        <v>41445</v>
      </c>
      <c r="AP31" s="62">
        <v>41613</v>
      </c>
      <c r="AQ31" s="62">
        <v>43164</v>
      </c>
      <c r="AR31" s="62">
        <v>43349</v>
      </c>
      <c r="AS31" s="62">
        <v>45886</v>
      </c>
      <c r="AT31" s="62">
        <v>46194</v>
      </c>
      <c r="AU31" s="62">
        <v>46851</v>
      </c>
      <c r="AV31" s="62">
        <v>45509</v>
      </c>
      <c r="AW31" s="62">
        <v>41416</v>
      </c>
      <c r="AX31" s="62">
        <v>29615</v>
      </c>
      <c r="AY31" s="62">
        <v>31449</v>
      </c>
      <c r="AZ31" s="62">
        <v>32208</v>
      </c>
      <c r="BA31" s="62">
        <v>35270</v>
      </c>
      <c r="BB31" s="62">
        <v>36369</v>
      </c>
      <c r="BC31" s="62">
        <v>39439</v>
      </c>
      <c r="BD31" s="62">
        <v>39907</v>
      </c>
      <c r="BE31" s="62">
        <v>39439</v>
      </c>
    </row>
    <row r="32" spans="1:57" x14ac:dyDescent="0.25">
      <c r="A32" s="20" t="s">
        <v>1475</v>
      </c>
      <c r="B32" s="62">
        <v>33484</v>
      </c>
      <c r="C32" s="62">
        <v>32736</v>
      </c>
      <c r="D32" s="62">
        <v>32993</v>
      </c>
      <c r="E32" s="62">
        <v>34838</v>
      </c>
      <c r="F32" s="62">
        <v>36310</v>
      </c>
      <c r="G32" s="62">
        <v>37075</v>
      </c>
      <c r="H32" s="62">
        <v>37309</v>
      </c>
      <c r="I32" s="62">
        <v>38561</v>
      </c>
      <c r="J32" s="62">
        <v>39461</v>
      </c>
      <c r="K32" s="62">
        <v>40239</v>
      </c>
      <c r="L32" s="62">
        <v>41445</v>
      </c>
      <c r="M32" s="62">
        <v>41613</v>
      </c>
      <c r="N32" s="62">
        <v>43164</v>
      </c>
      <c r="O32" s="62">
        <v>43349</v>
      </c>
      <c r="P32" s="62">
        <v>45886</v>
      </c>
      <c r="Q32" s="62">
        <v>46194</v>
      </c>
      <c r="R32" s="62">
        <v>46851</v>
      </c>
      <c r="S32" s="62">
        <v>45509</v>
      </c>
      <c r="T32" s="62">
        <v>41416</v>
      </c>
      <c r="U32" s="62">
        <v>29615</v>
      </c>
      <c r="V32" s="62">
        <v>31449</v>
      </c>
      <c r="W32" s="62">
        <v>32208</v>
      </c>
      <c r="X32" s="62">
        <v>35270</v>
      </c>
      <c r="Y32" s="62">
        <v>36369</v>
      </c>
      <c r="Z32" s="62">
        <v>39439</v>
      </c>
      <c r="AA32" s="62">
        <v>39907</v>
      </c>
      <c r="AC32" s="20"/>
      <c r="AD32" t="s">
        <v>1448</v>
      </c>
      <c r="AE32" s="62">
        <v>21203</v>
      </c>
      <c r="AF32" s="62">
        <v>22612</v>
      </c>
      <c r="AG32" s="62">
        <v>23203</v>
      </c>
      <c r="AH32" s="62">
        <v>24152</v>
      </c>
      <c r="AI32" s="62">
        <v>26071</v>
      </c>
      <c r="AJ32" s="62">
        <v>27409</v>
      </c>
      <c r="AK32" s="62">
        <v>28542</v>
      </c>
      <c r="AL32" s="62">
        <v>29904</v>
      </c>
      <c r="AM32" s="62">
        <v>30258</v>
      </c>
      <c r="AN32" s="62">
        <v>31655</v>
      </c>
      <c r="AO32" s="62">
        <v>30936</v>
      </c>
      <c r="AP32" s="62">
        <v>27068</v>
      </c>
      <c r="AQ32" s="62">
        <v>28087</v>
      </c>
      <c r="AR32" s="62">
        <v>27860</v>
      </c>
      <c r="AS32" s="62">
        <v>30014</v>
      </c>
      <c r="AT32" s="62">
        <v>26794</v>
      </c>
      <c r="AU32" s="62">
        <v>27000</v>
      </c>
      <c r="AV32" s="62">
        <v>27439</v>
      </c>
      <c r="AW32" s="62">
        <v>24186</v>
      </c>
      <c r="AX32" s="62">
        <v>23240</v>
      </c>
      <c r="AY32" s="62">
        <v>27262</v>
      </c>
      <c r="AZ32" s="62">
        <v>26338</v>
      </c>
      <c r="BA32" s="62">
        <v>26501</v>
      </c>
      <c r="BB32" s="62">
        <v>26395</v>
      </c>
      <c r="BC32" s="62">
        <v>26496</v>
      </c>
      <c r="BD32" s="62">
        <v>28062</v>
      </c>
      <c r="BE32" s="62">
        <v>28110</v>
      </c>
    </row>
    <row r="33" spans="1:57" x14ac:dyDescent="0.25">
      <c r="A33" s="20" t="s">
        <v>1476</v>
      </c>
      <c r="B33" s="62">
        <v>21326</v>
      </c>
      <c r="C33" s="62">
        <v>22744</v>
      </c>
      <c r="D33" s="62">
        <v>23341</v>
      </c>
      <c r="E33" s="62">
        <v>24290</v>
      </c>
      <c r="F33" s="62">
        <v>26224</v>
      </c>
      <c r="G33" s="62">
        <v>27573</v>
      </c>
      <c r="H33" s="62">
        <v>28710</v>
      </c>
      <c r="I33" s="62">
        <v>30084</v>
      </c>
      <c r="J33" s="62">
        <v>30439</v>
      </c>
      <c r="K33" s="62">
        <v>31851</v>
      </c>
      <c r="L33" s="62">
        <v>31128</v>
      </c>
      <c r="M33" s="62">
        <v>27239</v>
      </c>
      <c r="N33" s="62">
        <v>28264</v>
      </c>
      <c r="O33" s="62">
        <v>28040</v>
      </c>
      <c r="P33" s="62">
        <v>30214</v>
      </c>
      <c r="Q33" s="62">
        <v>26972</v>
      </c>
      <c r="R33" s="62">
        <v>27187</v>
      </c>
      <c r="S33" s="62">
        <v>27627</v>
      </c>
      <c r="T33" s="62">
        <v>24352</v>
      </c>
      <c r="U33" s="62">
        <v>23403</v>
      </c>
      <c r="V33" s="62">
        <v>27262</v>
      </c>
      <c r="W33" s="62">
        <v>26338</v>
      </c>
      <c r="X33" s="62">
        <v>26501</v>
      </c>
      <c r="Y33" s="62">
        <v>26395</v>
      </c>
      <c r="Z33" s="62">
        <v>26496</v>
      </c>
      <c r="AA33" s="62">
        <v>28062</v>
      </c>
      <c r="AC33" s="20"/>
      <c r="AD33" t="s">
        <v>1412</v>
      </c>
      <c r="AE33" s="62">
        <v>29831</v>
      </c>
      <c r="AF33" s="62">
        <v>28832</v>
      </c>
      <c r="AG33" s="62">
        <v>28585</v>
      </c>
      <c r="AH33" s="62">
        <v>28294</v>
      </c>
      <c r="AI33" s="62">
        <v>28107</v>
      </c>
      <c r="AJ33" s="62">
        <v>26084</v>
      </c>
      <c r="AK33" s="62">
        <v>24248</v>
      </c>
      <c r="AL33" s="62">
        <v>24039</v>
      </c>
      <c r="AM33" s="62">
        <v>21853</v>
      </c>
      <c r="AN33" s="62">
        <v>22472</v>
      </c>
      <c r="AO33" s="62">
        <v>22675</v>
      </c>
      <c r="AP33" s="62">
        <v>22351</v>
      </c>
      <c r="AQ33" s="62">
        <v>22846</v>
      </c>
      <c r="AR33" s="62">
        <v>22343</v>
      </c>
      <c r="AS33" s="62">
        <v>22425</v>
      </c>
      <c r="AT33" s="62">
        <v>22512</v>
      </c>
      <c r="AU33" s="62">
        <v>22865</v>
      </c>
      <c r="AV33" s="62">
        <v>22971</v>
      </c>
      <c r="AW33" s="62">
        <v>23475</v>
      </c>
      <c r="AX33" s="62">
        <v>22452</v>
      </c>
      <c r="AY33" s="62">
        <v>22705</v>
      </c>
      <c r="AZ33" s="62">
        <v>24243</v>
      </c>
      <c r="BA33" s="62">
        <v>23276</v>
      </c>
      <c r="BB33" s="62">
        <v>24827</v>
      </c>
      <c r="BC33" s="62">
        <v>25336</v>
      </c>
      <c r="BD33" s="62">
        <v>24888</v>
      </c>
      <c r="BE33" s="62">
        <v>25516</v>
      </c>
    </row>
    <row r="34" spans="1:57" x14ac:dyDescent="0.25">
      <c r="A34" s="20" t="s">
        <v>1477</v>
      </c>
      <c r="B34" s="62">
        <v>11700</v>
      </c>
      <c r="C34" s="62">
        <v>11539</v>
      </c>
      <c r="D34" s="62">
        <v>11927</v>
      </c>
      <c r="E34" s="62">
        <v>12279</v>
      </c>
      <c r="F34" s="62">
        <v>12736</v>
      </c>
      <c r="G34" s="62">
        <v>13538</v>
      </c>
      <c r="H34" s="62">
        <v>14242</v>
      </c>
      <c r="I34" s="62">
        <v>14498</v>
      </c>
      <c r="J34" s="62">
        <v>14792</v>
      </c>
      <c r="K34" s="62">
        <v>14425</v>
      </c>
      <c r="L34" s="62">
        <v>14282</v>
      </c>
      <c r="M34" s="62">
        <v>13722</v>
      </c>
      <c r="N34" s="62">
        <v>13169</v>
      </c>
      <c r="O34" s="62">
        <v>13907</v>
      </c>
      <c r="P34" s="62">
        <v>14613</v>
      </c>
      <c r="Q34" s="62">
        <v>14552</v>
      </c>
      <c r="R34" s="62">
        <v>15243</v>
      </c>
      <c r="S34" s="62">
        <v>14721</v>
      </c>
      <c r="T34" s="62">
        <v>14505</v>
      </c>
      <c r="U34" s="62">
        <v>11411</v>
      </c>
      <c r="V34" s="62">
        <v>13381</v>
      </c>
      <c r="W34" s="62">
        <v>13982</v>
      </c>
      <c r="X34" s="62">
        <v>13785</v>
      </c>
      <c r="Y34" s="62">
        <v>14028</v>
      </c>
      <c r="Z34" s="62">
        <v>14210</v>
      </c>
      <c r="AA34" s="62">
        <v>13342</v>
      </c>
      <c r="AC34" s="20"/>
      <c r="AD34" t="s">
        <v>1426</v>
      </c>
      <c r="AE34" s="62">
        <v>7689</v>
      </c>
      <c r="AF34" s="62">
        <v>7989</v>
      </c>
      <c r="AG34" s="62">
        <v>8120</v>
      </c>
      <c r="AH34" s="62">
        <v>8420</v>
      </c>
      <c r="AI34" s="62">
        <v>8675</v>
      </c>
      <c r="AJ34" s="62">
        <v>9033</v>
      </c>
      <c r="AK34" s="62">
        <v>9461</v>
      </c>
      <c r="AL34" s="62">
        <v>9980</v>
      </c>
      <c r="AM34" s="62">
        <v>10204</v>
      </c>
      <c r="AN34" s="62">
        <v>10080</v>
      </c>
      <c r="AO34" s="62">
        <v>10433</v>
      </c>
      <c r="AP34" s="62">
        <v>10720</v>
      </c>
      <c r="AQ34" s="62">
        <v>10913</v>
      </c>
      <c r="AR34" s="62">
        <v>11239</v>
      </c>
      <c r="AS34" s="62">
        <v>11510</v>
      </c>
      <c r="AT34" s="62">
        <v>11700</v>
      </c>
      <c r="AU34" s="62">
        <v>12021</v>
      </c>
      <c r="AV34" s="62">
        <v>12338</v>
      </c>
      <c r="AW34" s="62">
        <v>12949</v>
      </c>
      <c r="AX34" s="62">
        <v>13370</v>
      </c>
      <c r="AY34" s="62">
        <v>14985</v>
      </c>
      <c r="AZ34" s="62">
        <v>16426</v>
      </c>
      <c r="BA34" s="62">
        <v>19300</v>
      </c>
      <c r="BB34" s="62">
        <v>22611</v>
      </c>
      <c r="BC34" s="62">
        <v>26324</v>
      </c>
      <c r="BD34" s="62">
        <v>28752</v>
      </c>
      <c r="BE34" s="62">
        <v>22767</v>
      </c>
    </row>
    <row r="35" spans="1:57" x14ac:dyDescent="0.25">
      <c r="A35" s="20" t="s">
        <v>1478</v>
      </c>
      <c r="B35" s="62">
        <v>4907</v>
      </c>
      <c r="C35" s="62">
        <v>4313</v>
      </c>
      <c r="D35" s="62">
        <v>4301</v>
      </c>
      <c r="E35" s="62">
        <v>3909</v>
      </c>
      <c r="F35" s="62">
        <v>4346</v>
      </c>
      <c r="G35" s="62">
        <v>6155</v>
      </c>
      <c r="H35" s="62">
        <v>6781</v>
      </c>
      <c r="I35" s="62">
        <v>6373</v>
      </c>
      <c r="J35" s="62">
        <v>6701</v>
      </c>
      <c r="K35" s="62">
        <v>7576</v>
      </c>
      <c r="L35" s="62">
        <v>4670</v>
      </c>
      <c r="M35" s="62">
        <v>4660</v>
      </c>
      <c r="N35" s="62">
        <v>5137</v>
      </c>
      <c r="O35" s="62">
        <v>3739</v>
      </c>
      <c r="P35" s="62">
        <v>5598</v>
      </c>
      <c r="Q35" s="62">
        <v>6339</v>
      </c>
      <c r="R35" s="62">
        <v>7284</v>
      </c>
      <c r="S35" s="62">
        <v>7365</v>
      </c>
      <c r="T35" s="62">
        <v>5885</v>
      </c>
      <c r="U35" s="62">
        <v>7583</v>
      </c>
      <c r="V35" s="62">
        <v>9560</v>
      </c>
      <c r="W35" s="62">
        <v>9335</v>
      </c>
      <c r="X35" s="62">
        <v>8022</v>
      </c>
      <c r="Y35" s="62">
        <v>10414</v>
      </c>
      <c r="Z35" s="62">
        <v>11811</v>
      </c>
      <c r="AA35" s="62">
        <v>11236</v>
      </c>
      <c r="AC35" s="20"/>
      <c r="AD35" t="s">
        <v>1443</v>
      </c>
      <c r="AE35" s="62">
        <v>11700</v>
      </c>
      <c r="AF35" s="62">
        <v>11539</v>
      </c>
      <c r="AG35" s="62">
        <v>11927</v>
      </c>
      <c r="AH35" s="62">
        <v>12279</v>
      </c>
      <c r="AI35" s="62">
        <v>12736</v>
      </c>
      <c r="AJ35" s="62">
        <v>13538</v>
      </c>
      <c r="AK35" s="62">
        <v>14242</v>
      </c>
      <c r="AL35" s="62">
        <v>14498</v>
      </c>
      <c r="AM35" s="62">
        <v>14792</v>
      </c>
      <c r="AN35" s="62">
        <v>14425</v>
      </c>
      <c r="AO35" s="62">
        <v>14282</v>
      </c>
      <c r="AP35" s="62">
        <v>13722</v>
      </c>
      <c r="AQ35" s="62">
        <v>13169</v>
      </c>
      <c r="AR35" s="62">
        <v>13907</v>
      </c>
      <c r="AS35" s="62">
        <v>14613</v>
      </c>
      <c r="AT35" s="62">
        <v>14552</v>
      </c>
      <c r="AU35" s="62">
        <v>15243</v>
      </c>
      <c r="AV35" s="62">
        <v>14721</v>
      </c>
      <c r="AW35" s="62">
        <v>14505</v>
      </c>
      <c r="AX35" s="62">
        <v>11411</v>
      </c>
      <c r="AY35" s="62">
        <v>13381</v>
      </c>
      <c r="AZ35" s="62">
        <v>13982</v>
      </c>
      <c r="BA35" s="62">
        <v>13785</v>
      </c>
      <c r="BB35" s="62">
        <v>14028</v>
      </c>
      <c r="BC35" s="62">
        <v>14210</v>
      </c>
      <c r="BD35" s="62">
        <v>13342</v>
      </c>
      <c r="BE35" s="62">
        <v>12942</v>
      </c>
    </row>
    <row r="36" spans="1:57" x14ac:dyDescent="0.25">
      <c r="A36" s="20" t="s">
        <v>1479</v>
      </c>
      <c r="B36" s="62">
        <v>13047</v>
      </c>
      <c r="C36" s="62">
        <v>13279</v>
      </c>
      <c r="D36" s="62">
        <v>13683</v>
      </c>
      <c r="E36" s="62">
        <v>13205</v>
      </c>
      <c r="F36" s="62">
        <v>14151</v>
      </c>
      <c r="G36" s="62">
        <v>13541</v>
      </c>
      <c r="H36" s="62">
        <v>13836</v>
      </c>
      <c r="I36" s="62">
        <v>14028</v>
      </c>
      <c r="J36" s="62">
        <v>14143</v>
      </c>
      <c r="K36" s="62">
        <v>12948</v>
      </c>
      <c r="L36" s="62">
        <v>12172</v>
      </c>
      <c r="M36" s="62">
        <v>9233</v>
      </c>
      <c r="N36" s="62">
        <v>10499</v>
      </c>
      <c r="O36" s="62">
        <v>8817</v>
      </c>
      <c r="P36" s="62">
        <v>9568</v>
      </c>
      <c r="Q36" s="62">
        <v>9196</v>
      </c>
      <c r="R36" s="62">
        <v>8781</v>
      </c>
      <c r="S36" s="62">
        <v>9074</v>
      </c>
      <c r="T36" s="62">
        <v>8414</v>
      </c>
      <c r="U36" s="62">
        <v>8454</v>
      </c>
      <c r="V36" s="62">
        <v>9188</v>
      </c>
      <c r="W36" s="62">
        <v>9292</v>
      </c>
      <c r="X36" s="62">
        <v>9377</v>
      </c>
      <c r="Y36" s="62">
        <v>9962</v>
      </c>
      <c r="Z36" s="62">
        <v>9619</v>
      </c>
      <c r="AA36" s="62">
        <v>10799</v>
      </c>
      <c r="AC36" s="20"/>
      <c r="AD36" t="s">
        <v>1445</v>
      </c>
      <c r="AE36" s="62">
        <v>13047</v>
      </c>
      <c r="AF36" s="62">
        <v>13279</v>
      </c>
      <c r="AG36" s="62">
        <v>13683</v>
      </c>
      <c r="AH36" s="62">
        <v>13205</v>
      </c>
      <c r="AI36" s="62">
        <v>14151</v>
      </c>
      <c r="AJ36" s="62">
        <v>13541</v>
      </c>
      <c r="AK36" s="62">
        <v>13836</v>
      </c>
      <c r="AL36" s="62">
        <v>14028</v>
      </c>
      <c r="AM36" s="62">
        <v>14143</v>
      </c>
      <c r="AN36" s="62">
        <v>12948</v>
      </c>
      <c r="AO36" s="62">
        <v>12172</v>
      </c>
      <c r="AP36" s="62">
        <v>9233</v>
      </c>
      <c r="AQ36" s="62">
        <v>10499</v>
      </c>
      <c r="AR36" s="62">
        <v>8817</v>
      </c>
      <c r="AS36" s="62">
        <v>9568</v>
      </c>
      <c r="AT36" s="62">
        <v>9196</v>
      </c>
      <c r="AU36" s="62">
        <v>8781</v>
      </c>
      <c r="AV36" s="62">
        <v>9074</v>
      </c>
      <c r="AW36" s="62">
        <v>8414</v>
      </c>
      <c r="AX36" s="62">
        <v>8454</v>
      </c>
      <c r="AY36" s="62">
        <v>9188</v>
      </c>
      <c r="AZ36" s="62">
        <v>9292</v>
      </c>
      <c r="BA36" s="62">
        <v>9377</v>
      </c>
      <c r="BB36" s="62">
        <v>9962</v>
      </c>
      <c r="BC36" s="62">
        <v>9619</v>
      </c>
      <c r="BD36" s="62">
        <v>10883</v>
      </c>
      <c r="BE36" s="62">
        <v>12194</v>
      </c>
    </row>
    <row r="37" spans="1:57" x14ac:dyDescent="0.25">
      <c r="A37" s="20" t="s">
        <v>1480</v>
      </c>
      <c r="B37" s="62">
        <v>7950</v>
      </c>
      <c r="C37" s="62">
        <v>7959</v>
      </c>
      <c r="D37" s="62">
        <v>9483</v>
      </c>
      <c r="E37" s="62">
        <v>9751</v>
      </c>
      <c r="F37" s="62">
        <v>10833</v>
      </c>
      <c r="G37" s="62">
        <v>11261</v>
      </c>
      <c r="H37" s="62">
        <v>11861</v>
      </c>
      <c r="I37" s="62">
        <v>11848</v>
      </c>
      <c r="J37" s="62">
        <v>10822</v>
      </c>
      <c r="K37" s="62">
        <v>11001</v>
      </c>
      <c r="L37" s="62">
        <v>11106</v>
      </c>
      <c r="M37" s="62">
        <v>11391</v>
      </c>
      <c r="N37" s="62">
        <v>11828</v>
      </c>
      <c r="O37" s="62">
        <v>12099</v>
      </c>
      <c r="P37" s="62">
        <v>12375</v>
      </c>
      <c r="Q37" s="62">
        <v>12469</v>
      </c>
      <c r="R37" s="62">
        <v>12528</v>
      </c>
      <c r="S37" s="62">
        <v>12733</v>
      </c>
      <c r="T37" s="62">
        <v>11892</v>
      </c>
      <c r="U37" s="62">
        <v>11318</v>
      </c>
      <c r="V37" s="62">
        <v>11047</v>
      </c>
      <c r="W37" s="62">
        <v>10564</v>
      </c>
      <c r="X37" s="62">
        <v>10379</v>
      </c>
      <c r="Y37" s="62">
        <v>10398</v>
      </c>
      <c r="Z37" s="62">
        <v>10608</v>
      </c>
      <c r="AA37" s="62">
        <v>10676</v>
      </c>
      <c r="AC37" s="20"/>
      <c r="AD37" t="s">
        <v>1718</v>
      </c>
      <c r="AE37" s="62">
        <v>6297</v>
      </c>
      <c r="AF37" s="62">
        <v>5675</v>
      </c>
      <c r="AG37" s="62">
        <v>5619</v>
      </c>
      <c r="AH37" s="62">
        <v>5234</v>
      </c>
      <c r="AI37" s="62">
        <v>5636</v>
      </c>
      <c r="AJ37" s="62">
        <v>7552</v>
      </c>
      <c r="AK37" s="62">
        <v>8174</v>
      </c>
      <c r="AL37" s="62">
        <v>7765</v>
      </c>
      <c r="AM37" s="62">
        <v>8085</v>
      </c>
      <c r="AN37" s="62">
        <v>8887</v>
      </c>
      <c r="AO37" s="62">
        <v>6007</v>
      </c>
      <c r="AP37" s="62">
        <v>6033</v>
      </c>
      <c r="AQ37" s="62">
        <v>6489</v>
      </c>
      <c r="AR37" s="62">
        <v>5054</v>
      </c>
      <c r="AS37" s="62">
        <v>6900</v>
      </c>
      <c r="AT37" s="62">
        <v>7644</v>
      </c>
      <c r="AU37" s="62">
        <v>8560</v>
      </c>
      <c r="AV37" s="62">
        <v>8626</v>
      </c>
      <c r="AW37" s="62">
        <v>7112</v>
      </c>
      <c r="AX37" s="62">
        <v>8681</v>
      </c>
      <c r="AY37" s="62">
        <v>10709</v>
      </c>
      <c r="AZ37" s="62">
        <v>10440</v>
      </c>
      <c r="BA37" s="62">
        <v>9119</v>
      </c>
      <c r="BB37" s="62">
        <v>11524</v>
      </c>
      <c r="BC37" s="62">
        <v>12954</v>
      </c>
      <c r="BD37" s="62">
        <v>12312</v>
      </c>
      <c r="BE37" s="62">
        <v>10986</v>
      </c>
    </row>
    <row r="38" spans="1:57" x14ac:dyDescent="0.25">
      <c r="A38" s="20" t="s">
        <v>1481</v>
      </c>
      <c r="B38" s="62">
        <v>2417</v>
      </c>
      <c r="C38" s="62">
        <v>2313</v>
      </c>
      <c r="D38" s="62">
        <v>2448</v>
      </c>
      <c r="E38" s="62">
        <v>2637</v>
      </c>
      <c r="F38" s="62">
        <v>2683</v>
      </c>
      <c r="G38" s="62">
        <v>2657</v>
      </c>
      <c r="H38" s="62">
        <v>2587</v>
      </c>
      <c r="I38" s="62">
        <v>2691</v>
      </c>
      <c r="J38" s="62">
        <v>2947</v>
      </c>
      <c r="K38" s="62">
        <v>3016</v>
      </c>
      <c r="L38" s="62">
        <v>3214</v>
      </c>
      <c r="M38" s="62">
        <v>3414</v>
      </c>
      <c r="N38" s="62">
        <v>3572</v>
      </c>
      <c r="O38" s="62">
        <v>3685</v>
      </c>
      <c r="P38" s="62">
        <v>3653</v>
      </c>
      <c r="Q38" s="62">
        <v>3504</v>
      </c>
      <c r="R38" s="62">
        <v>3656</v>
      </c>
      <c r="S38" s="62">
        <v>3757</v>
      </c>
      <c r="T38" s="62">
        <v>3613</v>
      </c>
      <c r="U38" s="62">
        <v>3555</v>
      </c>
      <c r="V38" s="62">
        <v>3778</v>
      </c>
      <c r="W38" s="62">
        <v>4097</v>
      </c>
      <c r="X38" s="62">
        <v>4267</v>
      </c>
      <c r="Y38" s="62">
        <v>4504</v>
      </c>
      <c r="Z38" s="62">
        <v>4781</v>
      </c>
      <c r="AA38" s="62">
        <v>5032</v>
      </c>
      <c r="AC38" s="20"/>
      <c r="AD38" t="s">
        <v>1720</v>
      </c>
      <c r="AE38" s="62">
        <v>7950</v>
      </c>
      <c r="AF38" s="62">
        <v>7959</v>
      </c>
      <c r="AG38" s="62">
        <v>9483</v>
      </c>
      <c r="AH38" s="62">
        <v>9751</v>
      </c>
      <c r="AI38" s="62">
        <v>10833</v>
      </c>
      <c r="AJ38" s="62">
        <v>11261</v>
      </c>
      <c r="AK38" s="62">
        <v>11861</v>
      </c>
      <c r="AL38" s="62">
        <v>11848</v>
      </c>
      <c r="AM38" s="62">
        <v>10822</v>
      </c>
      <c r="AN38" s="62">
        <v>11001</v>
      </c>
      <c r="AO38" s="62">
        <v>11106</v>
      </c>
      <c r="AP38" s="62">
        <v>11391</v>
      </c>
      <c r="AQ38" s="62">
        <v>11828</v>
      </c>
      <c r="AR38" s="62">
        <v>12099</v>
      </c>
      <c r="AS38" s="62">
        <v>12375</v>
      </c>
      <c r="AT38" s="62">
        <v>12469</v>
      </c>
      <c r="AU38" s="62">
        <v>12528</v>
      </c>
      <c r="AV38" s="62">
        <v>12733</v>
      </c>
      <c r="AW38" s="62">
        <v>11892</v>
      </c>
      <c r="AX38" s="62">
        <v>11318</v>
      </c>
      <c r="AY38" s="62">
        <v>11055</v>
      </c>
      <c r="AZ38" s="62">
        <v>10564</v>
      </c>
      <c r="BA38" s="62">
        <v>10392</v>
      </c>
      <c r="BB38" s="62">
        <v>10361</v>
      </c>
      <c r="BC38" s="62">
        <v>10604</v>
      </c>
      <c r="BD38" s="62">
        <v>10670</v>
      </c>
      <c r="BE38" s="62">
        <v>10676</v>
      </c>
    </row>
    <row r="39" spans="1:57" x14ac:dyDescent="0.25">
      <c r="A39" s="20" t="s">
        <v>1482</v>
      </c>
      <c r="B39" s="62">
        <v>1472</v>
      </c>
      <c r="C39" s="62">
        <v>1469</v>
      </c>
      <c r="D39" s="62">
        <v>1463</v>
      </c>
      <c r="E39" s="62">
        <v>1470</v>
      </c>
      <c r="F39" s="62">
        <v>1476</v>
      </c>
      <c r="G39" s="62">
        <v>1477</v>
      </c>
      <c r="H39" s="62">
        <v>1486</v>
      </c>
      <c r="I39" s="62">
        <v>1484</v>
      </c>
      <c r="J39" s="62">
        <v>1481</v>
      </c>
      <c r="K39" s="62">
        <v>1479</v>
      </c>
      <c r="L39" s="62">
        <v>1478</v>
      </c>
      <c r="M39">
        <v>894</v>
      </c>
      <c r="N39" s="62">
        <v>1047</v>
      </c>
      <c r="O39" s="62">
        <v>1365</v>
      </c>
      <c r="P39" s="62">
        <v>1259</v>
      </c>
      <c r="Q39" s="62">
        <v>1375</v>
      </c>
      <c r="R39" s="62">
        <v>1758</v>
      </c>
      <c r="S39" s="62">
        <v>1922</v>
      </c>
      <c r="T39" s="62">
        <v>1834</v>
      </c>
      <c r="U39" s="62">
        <v>1795</v>
      </c>
      <c r="V39" s="62">
        <v>4425</v>
      </c>
      <c r="W39" s="62">
        <v>4083</v>
      </c>
      <c r="X39" s="62">
        <v>4019</v>
      </c>
      <c r="Y39" s="62">
        <v>4188</v>
      </c>
      <c r="Z39" s="62">
        <v>4471</v>
      </c>
      <c r="AA39" s="62">
        <v>4296</v>
      </c>
      <c r="AC39" s="20"/>
      <c r="AD39" t="s">
        <v>1719</v>
      </c>
      <c r="AE39" s="62">
        <v>2417</v>
      </c>
      <c r="AF39" s="62">
        <v>2313</v>
      </c>
      <c r="AG39" s="62">
        <v>2448</v>
      </c>
      <c r="AH39" s="62">
        <v>2637</v>
      </c>
      <c r="AI39" s="62">
        <v>2683</v>
      </c>
      <c r="AJ39" s="62">
        <v>2657</v>
      </c>
      <c r="AK39" s="62">
        <v>2587</v>
      </c>
      <c r="AL39" s="62">
        <v>2691</v>
      </c>
      <c r="AM39" s="62">
        <v>2947</v>
      </c>
      <c r="AN39" s="62">
        <v>3016</v>
      </c>
      <c r="AO39" s="62">
        <v>3214</v>
      </c>
      <c r="AP39" s="62">
        <v>3414</v>
      </c>
      <c r="AQ39" s="62">
        <v>3572</v>
      </c>
      <c r="AR39" s="62">
        <v>3685</v>
      </c>
      <c r="AS39" s="62">
        <v>3653</v>
      </c>
      <c r="AT39" s="62">
        <v>3504</v>
      </c>
      <c r="AU39" s="62">
        <v>3656</v>
      </c>
      <c r="AV39" s="62">
        <v>3757</v>
      </c>
      <c r="AW39" s="62">
        <v>3613</v>
      </c>
      <c r="AX39" s="62">
        <v>3555</v>
      </c>
      <c r="AY39" s="62">
        <v>3778</v>
      </c>
      <c r="AZ39" s="62">
        <v>4097</v>
      </c>
      <c r="BA39" s="62">
        <v>4282</v>
      </c>
      <c r="BB39" s="62">
        <v>4443</v>
      </c>
      <c r="BC39" s="62">
        <v>4538</v>
      </c>
      <c r="BD39" s="62">
        <v>4888</v>
      </c>
      <c r="BE39" s="62">
        <v>5098</v>
      </c>
    </row>
    <row r="40" spans="1:57" x14ac:dyDescent="0.25">
      <c r="A40" s="20" t="s">
        <v>1483</v>
      </c>
      <c r="B40" s="62">
        <v>4667</v>
      </c>
      <c r="C40" s="62">
        <v>5009</v>
      </c>
      <c r="D40" s="62">
        <v>4415</v>
      </c>
      <c r="E40" s="62">
        <v>3785</v>
      </c>
      <c r="F40" s="62">
        <v>4141</v>
      </c>
      <c r="G40" s="62">
        <v>4392</v>
      </c>
      <c r="H40" s="62">
        <v>4368</v>
      </c>
      <c r="I40" s="62">
        <v>4280</v>
      </c>
      <c r="J40" s="62">
        <v>4721</v>
      </c>
      <c r="K40" s="62">
        <v>4458</v>
      </c>
      <c r="L40" s="62">
        <v>4328</v>
      </c>
      <c r="M40" s="62">
        <v>4411</v>
      </c>
      <c r="N40" s="62">
        <v>4976</v>
      </c>
      <c r="O40" s="62">
        <v>4575</v>
      </c>
      <c r="P40" s="62">
        <v>3902</v>
      </c>
      <c r="Q40" s="62">
        <v>4349</v>
      </c>
      <c r="R40" s="62">
        <v>4220</v>
      </c>
      <c r="S40" s="62">
        <v>4464</v>
      </c>
      <c r="T40" s="62">
        <v>5025</v>
      </c>
      <c r="U40" s="62">
        <v>3669</v>
      </c>
      <c r="V40" s="62">
        <v>4784</v>
      </c>
      <c r="W40" s="62">
        <v>3873</v>
      </c>
      <c r="X40" s="62">
        <v>5978</v>
      </c>
      <c r="Y40" s="62">
        <v>3907</v>
      </c>
      <c r="Z40" s="62">
        <v>3609</v>
      </c>
      <c r="AA40" s="62">
        <v>3810</v>
      </c>
      <c r="AC40" s="20"/>
      <c r="AD40" t="s">
        <v>1449</v>
      </c>
      <c r="AE40" s="62">
        <v>1472</v>
      </c>
      <c r="AF40" s="62">
        <v>1469</v>
      </c>
      <c r="AG40" s="62">
        <v>1463</v>
      </c>
      <c r="AH40" s="62">
        <v>1470</v>
      </c>
      <c r="AI40" s="62">
        <v>1476</v>
      </c>
      <c r="AJ40" s="62">
        <v>1477</v>
      </c>
      <c r="AK40" s="62">
        <v>1486</v>
      </c>
      <c r="AL40" s="62">
        <v>1484</v>
      </c>
      <c r="AM40" s="62">
        <v>1481</v>
      </c>
      <c r="AN40" s="62">
        <v>1479</v>
      </c>
      <c r="AO40" s="62">
        <v>1478</v>
      </c>
      <c r="AP40">
        <v>894</v>
      </c>
      <c r="AQ40" s="62">
        <v>1047</v>
      </c>
      <c r="AR40" s="62">
        <v>1365</v>
      </c>
      <c r="AS40" s="62">
        <v>1259</v>
      </c>
      <c r="AT40" s="62">
        <v>1375</v>
      </c>
      <c r="AU40" s="62">
        <v>1758</v>
      </c>
      <c r="AV40" s="62">
        <v>1922</v>
      </c>
      <c r="AW40" s="62">
        <v>1834</v>
      </c>
      <c r="AX40" s="62">
        <v>1795</v>
      </c>
      <c r="AY40" s="62">
        <v>4425</v>
      </c>
      <c r="AZ40" s="62">
        <v>4083</v>
      </c>
      <c r="BA40" s="62">
        <v>4019</v>
      </c>
      <c r="BB40" s="62">
        <v>4188</v>
      </c>
      <c r="BC40" s="62">
        <v>4471</v>
      </c>
      <c r="BD40" s="62">
        <v>4471</v>
      </c>
      <c r="BE40" s="62">
        <v>4471</v>
      </c>
    </row>
    <row r="41" spans="1:57" x14ac:dyDescent="0.25">
      <c r="A41" s="20" t="s">
        <v>1484</v>
      </c>
      <c r="B41" s="62">
        <v>3553</v>
      </c>
      <c r="C41" s="62">
        <v>3528</v>
      </c>
      <c r="D41" s="62">
        <v>3551</v>
      </c>
      <c r="E41" s="62">
        <v>3574</v>
      </c>
      <c r="F41" s="62">
        <v>3629</v>
      </c>
      <c r="G41" s="62">
        <v>3657</v>
      </c>
      <c r="H41" s="62">
        <v>3722</v>
      </c>
      <c r="I41" s="62">
        <v>3832</v>
      </c>
      <c r="J41" s="62">
        <v>3884</v>
      </c>
      <c r="K41" s="62">
        <v>3849</v>
      </c>
      <c r="L41" s="62">
        <v>3923</v>
      </c>
      <c r="M41" s="62">
        <v>3933</v>
      </c>
      <c r="N41" s="62">
        <v>3884</v>
      </c>
      <c r="O41" s="62">
        <v>3967</v>
      </c>
      <c r="P41" s="62">
        <v>4011</v>
      </c>
      <c r="Q41" s="62">
        <v>3927</v>
      </c>
      <c r="R41" s="62">
        <v>3934</v>
      </c>
      <c r="S41" s="62">
        <v>3924</v>
      </c>
      <c r="T41" s="62">
        <v>3806</v>
      </c>
      <c r="U41" s="62">
        <v>3745</v>
      </c>
      <c r="V41" s="62">
        <v>4154</v>
      </c>
      <c r="W41" s="62">
        <v>4192</v>
      </c>
      <c r="X41" s="62">
        <v>3876</v>
      </c>
      <c r="Y41" s="62">
        <v>3693</v>
      </c>
      <c r="Z41" s="62">
        <v>3567</v>
      </c>
      <c r="AA41" s="62">
        <v>3567</v>
      </c>
      <c r="AC41" s="20"/>
      <c r="AD41" t="s">
        <v>1446</v>
      </c>
      <c r="AE41" s="62">
        <v>3784</v>
      </c>
      <c r="AF41" s="62">
        <v>3501</v>
      </c>
      <c r="AG41" s="62">
        <v>3863</v>
      </c>
      <c r="AH41" s="62">
        <v>4568</v>
      </c>
      <c r="AI41" s="62">
        <v>4268</v>
      </c>
      <c r="AJ41" s="62">
        <v>4255</v>
      </c>
      <c r="AK41" s="62">
        <v>3859</v>
      </c>
      <c r="AL41" s="62">
        <v>3931</v>
      </c>
      <c r="AM41" s="62">
        <v>4844</v>
      </c>
      <c r="AN41" s="62">
        <v>4650</v>
      </c>
      <c r="AO41" s="62">
        <v>4231</v>
      </c>
      <c r="AP41" s="62">
        <v>4072</v>
      </c>
      <c r="AQ41" s="62">
        <v>3700</v>
      </c>
      <c r="AR41" s="62">
        <v>3558</v>
      </c>
      <c r="AS41" s="62">
        <v>3673</v>
      </c>
      <c r="AT41" s="62">
        <v>3653</v>
      </c>
      <c r="AU41" s="62">
        <v>3519</v>
      </c>
      <c r="AV41" s="62">
        <v>4944</v>
      </c>
      <c r="AW41" s="62">
        <v>4065</v>
      </c>
      <c r="AX41" s="62">
        <v>3427</v>
      </c>
      <c r="AY41" s="62">
        <v>4730</v>
      </c>
      <c r="AZ41" s="62">
        <v>4030</v>
      </c>
      <c r="BA41" s="62">
        <v>4392</v>
      </c>
      <c r="BB41" s="62">
        <v>4074</v>
      </c>
      <c r="BC41" s="62">
        <v>1541</v>
      </c>
      <c r="BD41" s="62">
        <v>4169</v>
      </c>
      <c r="BE41" s="62">
        <v>3959</v>
      </c>
    </row>
    <row r="42" spans="1:57" ht="24" x14ac:dyDescent="0.25">
      <c r="A42" s="20" t="s">
        <v>1485</v>
      </c>
      <c r="B42" s="62">
        <v>2822</v>
      </c>
      <c r="C42" s="62">
        <v>2793</v>
      </c>
      <c r="D42" s="62">
        <v>2769</v>
      </c>
      <c r="E42" s="62">
        <v>2736</v>
      </c>
      <c r="F42" s="62">
        <v>2712</v>
      </c>
      <c r="G42" s="62">
        <v>3003</v>
      </c>
      <c r="H42" s="62">
        <v>2979</v>
      </c>
      <c r="I42" s="62">
        <v>3057</v>
      </c>
      <c r="J42" s="62">
        <v>2990</v>
      </c>
      <c r="K42" s="62">
        <v>2859</v>
      </c>
      <c r="L42" s="62">
        <v>2866</v>
      </c>
      <c r="M42" s="62">
        <v>2872</v>
      </c>
      <c r="N42" s="62">
        <v>2822</v>
      </c>
      <c r="O42" s="62">
        <v>2824</v>
      </c>
      <c r="P42" s="62">
        <v>2908</v>
      </c>
      <c r="Q42" s="62">
        <v>2960</v>
      </c>
      <c r="R42" s="62">
        <v>2902</v>
      </c>
      <c r="S42" s="62">
        <v>2937</v>
      </c>
      <c r="T42" s="62">
        <v>2960</v>
      </c>
      <c r="U42" s="62">
        <v>2569</v>
      </c>
      <c r="V42" s="62">
        <v>2697</v>
      </c>
      <c r="W42" s="62">
        <v>2712</v>
      </c>
      <c r="X42" s="62">
        <v>2763</v>
      </c>
      <c r="Y42" s="62">
        <v>2804</v>
      </c>
      <c r="Z42" s="62">
        <v>2827</v>
      </c>
      <c r="AA42" s="62">
        <v>2789</v>
      </c>
      <c r="AC42" s="20"/>
      <c r="AD42" t="s">
        <v>1721</v>
      </c>
      <c r="AE42" s="62">
        <v>4667</v>
      </c>
      <c r="AF42" s="62">
        <v>5009</v>
      </c>
      <c r="AG42" s="62">
        <v>4415</v>
      </c>
      <c r="AH42" s="62">
        <v>3785</v>
      </c>
      <c r="AI42" s="62">
        <v>4141</v>
      </c>
      <c r="AJ42" s="62">
        <v>4392</v>
      </c>
      <c r="AK42" s="62">
        <v>4368</v>
      </c>
      <c r="AL42" s="62">
        <v>4280</v>
      </c>
      <c r="AM42" s="62">
        <v>4721</v>
      </c>
      <c r="AN42" s="62">
        <v>4458</v>
      </c>
      <c r="AO42" s="62">
        <v>4328</v>
      </c>
      <c r="AP42" s="62">
        <v>4411</v>
      </c>
      <c r="AQ42" s="62">
        <v>4976</v>
      </c>
      <c r="AR42" s="62">
        <v>4575</v>
      </c>
      <c r="AS42" s="62">
        <v>3902</v>
      </c>
      <c r="AT42" s="62">
        <v>4349</v>
      </c>
      <c r="AU42" s="62">
        <v>4220</v>
      </c>
      <c r="AV42" s="62">
        <v>4464</v>
      </c>
      <c r="AW42" s="62">
        <v>5025</v>
      </c>
      <c r="AX42" s="62">
        <v>3669</v>
      </c>
      <c r="AY42" s="62">
        <v>4784</v>
      </c>
      <c r="AZ42" s="62">
        <v>3873</v>
      </c>
      <c r="BA42" s="62">
        <v>5978</v>
      </c>
      <c r="BB42" s="62">
        <v>3907</v>
      </c>
      <c r="BC42" s="62">
        <v>3609</v>
      </c>
      <c r="BD42" s="62">
        <v>3777</v>
      </c>
      <c r="BE42" s="62">
        <v>3863</v>
      </c>
    </row>
    <row r="43" spans="1:57" x14ac:dyDescent="0.25">
      <c r="A43" s="20" t="s">
        <v>1486</v>
      </c>
      <c r="B43" s="62">
        <v>6831</v>
      </c>
      <c r="C43" s="62">
        <v>6945</v>
      </c>
      <c r="D43" s="62">
        <v>6804</v>
      </c>
      <c r="E43" s="62">
        <v>6211</v>
      </c>
      <c r="F43" s="62">
        <v>5539</v>
      </c>
      <c r="G43" s="62">
        <v>5659</v>
      </c>
      <c r="H43" s="62">
        <v>5987</v>
      </c>
      <c r="I43" s="62">
        <v>6019</v>
      </c>
      <c r="J43" s="62">
        <v>6191</v>
      </c>
      <c r="K43" s="62">
        <v>6286</v>
      </c>
      <c r="L43" s="62">
        <v>6086</v>
      </c>
      <c r="M43" s="62">
        <v>4382</v>
      </c>
      <c r="N43" s="62">
        <v>4491</v>
      </c>
      <c r="O43" s="62">
        <v>4502</v>
      </c>
      <c r="P43" s="62">
        <v>4231</v>
      </c>
      <c r="Q43" s="62">
        <v>4142</v>
      </c>
      <c r="R43" s="62">
        <v>3801</v>
      </c>
      <c r="S43" s="62">
        <v>4251</v>
      </c>
      <c r="T43" s="62">
        <v>4477</v>
      </c>
      <c r="U43" s="62">
        <v>3009</v>
      </c>
      <c r="V43" s="62">
        <v>2722</v>
      </c>
      <c r="W43" s="62">
        <v>3292</v>
      </c>
      <c r="X43" s="62">
        <v>3439</v>
      </c>
      <c r="Y43" s="62">
        <v>3255</v>
      </c>
      <c r="Z43" s="62">
        <v>2833</v>
      </c>
      <c r="AA43" s="62">
        <v>2767</v>
      </c>
      <c r="AC43" s="20"/>
      <c r="AD43" t="s">
        <v>1722</v>
      </c>
      <c r="AE43" s="62">
        <v>2152</v>
      </c>
      <c r="AF43" s="62">
        <v>1929</v>
      </c>
      <c r="AG43" s="62">
        <v>1957</v>
      </c>
      <c r="AH43" s="62">
        <v>1904</v>
      </c>
      <c r="AI43" s="62">
        <v>2021</v>
      </c>
      <c r="AJ43" s="62">
        <v>2036</v>
      </c>
      <c r="AK43" s="62">
        <v>2133</v>
      </c>
      <c r="AL43" s="62">
        <v>2226</v>
      </c>
      <c r="AM43" s="62">
        <v>2218</v>
      </c>
      <c r="AN43" s="62">
        <v>2185</v>
      </c>
      <c r="AO43" s="62">
        <v>1893</v>
      </c>
      <c r="AP43" s="62">
        <v>1459</v>
      </c>
      <c r="AQ43" s="62">
        <v>1349</v>
      </c>
      <c r="AR43" s="62">
        <v>1305</v>
      </c>
      <c r="AS43" s="62">
        <v>1419</v>
      </c>
      <c r="AT43" s="62">
        <v>1392</v>
      </c>
      <c r="AU43" s="62">
        <v>1505</v>
      </c>
      <c r="AV43" s="62">
        <v>1552</v>
      </c>
      <c r="AW43" s="62">
        <v>1599</v>
      </c>
      <c r="AX43" s="62">
        <v>1469</v>
      </c>
      <c r="AY43" s="62">
        <v>1663</v>
      </c>
      <c r="AZ43" s="62">
        <v>1735</v>
      </c>
      <c r="BA43" s="62">
        <v>1903</v>
      </c>
      <c r="BB43" s="62">
        <v>1785</v>
      </c>
      <c r="BC43" s="62">
        <v>1914</v>
      </c>
      <c r="BD43" s="62">
        <v>1960</v>
      </c>
      <c r="BE43" s="62">
        <v>1796</v>
      </c>
    </row>
    <row r="44" spans="1:57" x14ac:dyDescent="0.25">
      <c r="A44" s="20" t="s">
        <v>1487</v>
      </c>
      <c r="B44" s="62">
        <v>2152</v>
      </c>
      <c r="C44" s="62">
        <v>1929</v>
      </c>
      <c r="D44" s="62">
        <v>1957</v>
      </c>
      <c r="E44" s="62">
        <v>1904</v>
      </c>
      <c r="F44" s="62">
        <v>2021</v>
      </c>
      <c r="G44" s="62">
        <v>2036</v>
      </c>
      <c r="H44" s="62">
        <v>2133</v>
      </c>
      <c r="I44" s="62">
        <v>2226</v>
      </c>
      <c r="J44" s="62">
        <v>2218</v>
      </c>
      <c r="K44" s="62">
        <v>2185</v>
      </c>
      <c r="L44" s="62">
        <v>1893</v>
      </c>
      <c r="M44" s="62">
        <v>1459</v>
      </c>
      <c r="N44" s="62">
        <v>1349</v>
      </c>
      <c r="O44" s="62">
        <v>1305</v>
      </c>
      <c r="P44" s="62">
        <v>1419</v>
      </c>
      <c r="Q44" s="62">
        <v>1392</v>
      </c>
      <c r="R44" s="62">
        <v>1505</v>
      </c>
      <c r="S44" s="62">
        <v>1552</v>
      </c>
      <c r="T44" s="62">
        <v>1599</v>
      </c>
      <c r="U44" s="62">
        <v>1469</v>
      </c>
      <c r="V44" s="62">
        <v>1663</v>
      </c>
      <c r="W44" s="62">
        <v>1735</v>
      </c>
      <c r="X44" s="62">
        <v>1903</v>
      </c>
      <c r="Y44" s="62">
        <v>1785</v>
      </c>
      <c r="Z44" s="62">
        <v>1914</v>
      </c>
      <c r="AA44" s="62">
        <v>1960</v>
      </c>
      <c r="AC44" s="20"/>
      <c r="AD44" t="s">
        <v>1922</v>
      </c>
      <c r="AE44" s="62">
        <v>1431</v>
      </c>
      <c r="AF44" s="62">
        <v>1431</v>
      </c>
      <c r="AG44" s="62">
        <v>1451</v>
      </c>
      <c r="AH44" s="62">
        <v>1412</v>
      </c>
      <c r="AI44" s="62">
        <v>1422</v>
      </c>
      <c r="AJ44" s="62">
        <v>1607</v>
      </c>
      <c r="AK44" s="62">
        <v>1587</v>
      </c>
      <c r="AL44" s="62">
        <v>1665</v>
      </c>
      <c r="AM44" s="62">
        <v>1607</v>
      </c>
      <c r="AN44" s="62">
        <v>1548</v>
      </c>
      <c r="AO44" s="62">
        <v>1529</v>
      </c>
      <c r="AP44" s="62">
        <v>1500</v>
      </c>
      <c r="AQ44" s="62">
        <v>1470</v>
      </c>
      <c r="AR44" s="62">
        <v>1509</v>
      </c>
      <c r="AS44" s="62">
        <v>1607</v>
      </c>
      <c r="AT44" s="62">
        <v>1655</v>
      </c>
      <c r="AU44" s="62">
        <v>1626</v>
      </c>
      <c r="AV44" s="62">
        <v>1675</v>
      </c>
      <c r="AW44" s="62">
        <v>1733</v>
      </c>
      <c r="AX44" s="62">
        <v>1470</v>
      </c>
      <c r="AY44" s="62">
        <v>1548</v>
      </c>
      <c r="AZ44" s="62">
        <v>1607</v>
      </c>
      <c r="BA44" s="62">
        <v>1665</v>
      </c>
      <c r="BB44" s="62">
        <v>1694</v>
      </c>
      <c r="BC44" s="62">
        <v>1685</v>
      </c>
      <c r="BD44" s="62">
        <v>1714</v>
      </c>
      <c r="BE44" s="62">
        <v>1723</v>
      </c>
    </row>
    <row r="45" spans="1:57" x14ac:dyDescent="0.25">
      <c r="A45" s="20" t="s">
        <v>1488</v>
      </c>
      <c r="B45" s="62">
        <v>1195</v>
      </c>
      <c r="C45" s="62">
        <v>1211</v>
      </c>
      <c r="D45" s="62">
        <v>1392</v>
      </c>
      <c r="E45" s="62">
        <v>1416</v>
      </c>
      <c r="F45" s="62">
        <v>1526</v>
      </c>
      <c r="G45" s="62">
        <v>1526</v>
      </c>
      <c r="H45" s="62">
        <v>1514</v>
      </c>
      <c r="I45" s="62">
        <v>1677</v>
      </c>
      <c r="J45" s="62">
        <v>1662</v>
      </c>
      <c r="K45" s="62">
        <v>1693</v>
      </c>
      <c r="L45" s="62">
        <v>1752</v>
      </c>
      <c r="M45" s="62">
        <v>1697</v>
      </c>
      <c r="N45" s="62">
        <v>1824</v>
      </c>
      <c r="O45" s="62">
        <v>1839</v>
      </c>
      <c r="P45" s="62">
        <v>2064</v>
      </c>
      <c r="Q45" s="62">
        <v>1755</v>
      </c>
      <c r="R45" s="62">
        <v>1836</v>
      </c>
      <c r="S45" s="62">
        <v>1930</v>
      </c>
      <c r="T45" s="62">
        <v>1809</v>
      </c>
      <c r="U45" s="62">
        <v>1648</v>
      </c>
      <c r="V45" s="62">
        <v>1769</v>
      </c>
      <c r="W45" s="62">
        <v>1729</v>
      </c>
      <c r="X45" s="62">
        <v>1528</v>
      </c>
      <c r="Y45" s="62">
        <v>1715</v>
      </c>
      <c r="Z45" s="62">
        <v>1688</v>
      </c>
      <c r="AA45" s="62">
        <v>1635</v>
      </c>
      <c r="AC45" s="20"/>
      <c r="AD45" t="s">
        <v>1450</v>
      </c>
      <c r="AE45" s="62">
        <v>1195</v>
      </c>
      <c r="AF45" s="62">
        <v>1211</v>
      </c>
      <c r="AG45" s="62">
        <v>1392</v>
      </c>
      <c r="AH45" s="62">
        <v>1416</v>
      </c>
      <c r="AI45" s="62">
        <v>1526</v>
      </c>
      <c r="AJ45" s="62">
        <v>1526</v>
      </c>
      <c r="AK45" s="62">
        <v>1514</v>
      </c>
      <c r="AL45" s="62">
        <v>1677</v>
      </c>
      <c r="AM45" s="62">
        <v>1662</v>
      </c>
      <c r="AN45" s="62">
        <v>1693</v>
      </c>
      <c r="AO45" s="62">
        <v>1752</v>
      </c>
      <c r="AP45" s="62">
        <v>1697</v>
      </c>
      <c r="AQ45" s="62">
        <v>1824</v>
      </c>
      <c r="AR45" s="62">
        <v>1839</v>
      </c>
      <c r="AS45" s="62">
        <v>2064</v>
      </c>
      <c r="AT45" s="62">
        <v>1755</v>
      </c>
      <c r="AU45" s="62">
        <v>1836</v>
      </c>
      <c r="AV45" s="62">
        <v>1930</v>
      </c>
      <c r="AW45" s="62">
        <v>1809</v>
      </c>
      <c r="AX45" s="62">
        <v>1648</v>
      </c>
      <c r="AY45" s="62">
        <v>1769</v>
      </c>
      <c r="AZ45" s="62">
        <v>1729</v>
      </c>
      <c r="BA45" s="62">
        <v>1528</v>
      </c>
      <c r="BB45" s="62">
        <v>1715</v>
      </c>
      <c r="BC45" s="62">
        <v>1688</v>
      </c>
      <c r="BD45" s="62">
        <v>1635</v>
      </c>
      <c r="BE45" s="62">
        <v>1608</v>
      </c>
    </row>
    <row r="46" spans="1:57" x14ac:dyDescent="0.25">
      <c r="A46" s="20" t="s">
        <v>1489</v>
      </c>
      <c r="B46" s="62">
        <v>1535</v>
      </c>
      <c r="C46" s="62">
        <v>1439</v>
      </c>
      <c r="D46" s="62">
        <v>1540</v>
      </c>
      <c r="E46" s="62">
        <v>1626</v>
      </c>
      <c r="F46" s="62">
        <v>1735</v>
      </c>
      <c r="G46" s="62">
        <v>1823</v>
      </c>
      <c r="H46" s="62">
        <v>1677</v>
      </c>
      <c r="I46" s="62">
        <v>1618</v>
      </c>
      <c r="J46" s="62">
        <v>1543</v>
      </c>
      <c r="K46" s="62">
        <v>1357</v>
      </c>
      <c r="L46" s="62">
        <v>1686</v>
      </c>
      <c r="M46" s="62">
        <v>1386</v>
      </c>
      <c r="N46" s="62">
        <v>1741</v>
      </c>
      <c r="O46" s="62">
        <v>1623</v>
      </c>
      <c r="P46" s="62">
        <v>1642</v>
      </c>
      <c r="Q46" s="62">
        <v>1928</v>
      </c>
      <c r="R46" s="62">
        <v>2050</v>
      </c>
      <c r="S46" s="62">
        <v>1536</v>
      </c>
      <c r="T46" s="62">
        <v>1523</v>
      </c>
      <c r="U46" s="62">
        <v>1045</v>
      </c>
      <c r="V46" s="62">
        <v>1481</v>
      </c>
      <c r="W46" s="62">
        <v>1299</v>
      </c>
      <c r="X46" s="62">
        <v>1248</v>
      </c>
      <c r="Y46" s="62">
        <v>1317</v>
      </c>
      <c r="Z46" s="62">
        <v>1336</v>
      </c>
      <c r="AA46" s="62">
        <v>1299</v>
      </c>
      <c r="AC46" s="20"/>
      <c r="AD46" t="s">
        <v>1601</v>
      </c>
      <c r="AE46" s="62">
        <v>6831</v>
      </c>
      <c r="AF46" s="62">
        <v>6945</v>
      </c>
      <c r="AG46" s="62">
        <v>6804</v>
      </c>
      <c r="AH46" s="62">
        <v>6211</v>
      </c>
      <c r="AI46" s="62">
        <v>5539</v>
      </c>
      <c r="AJ46" s="62">
        <v>5659</v>
      </c>
      <c r="AK46" s="62">
        <v>5987</v>
      </c>
      <c r="AL46" s="62">
        <v>6019</v>
      </c>
      <c r="AM46" s="62">
        <v>6191</v>
      </c>
      <c r="AN46" s="62">
        <v>6286</v>
      </c>
      <c r="AO46" s="62">
        <v>6086</v>
      </c>
      <c r="AP46" s="62">
        <v>4382</v>
      </c>
      <c r="AQ46" s="62">
        <v>4491</v>
      </c>
      <c r="AR46" s="62">
        <v>4502</v>
      </c>
      <c r="AS46" s="62">
        <v>4231</v>
      </c>
      <c r="AT46" s="62">
        <v>4142</v>
      </c>
      <c r="AU46" s="62">
        <v>3801</v>
      </c>
      <c r="AV46" s="62">
        <v>4251</v>
      </c>
      <c r="AW46" s="62">
        <v>4477</v>
      </c>
      <c r="AX46" s="62">
        <v>3009</v>
      </c>
      <c r="AY46" s="62">
        <v>2722</v>
      </c>
      <c r="AZ46" s="62">
        <v>3292</v>
      </c>
      <c r="BA46" s="62">
        <v>3439</v>
      </c>
      <c r="BB46" s="62">
        <v>3255</v>
      </c>
      <c r="BC46" s="62">
        <v>2833</v>
      </c>
      <c r="BD46" s="62">
        <v>2767</v>
      </c>
      <c r="BE46" s="62">
        <v>1334</v>
      </c>
    </row>
    <row r="47" spans="1:57" ht="24" x14ac:dyDescent="0.25">
      <c r="A47" s="20" t="s">
        <v>1490</v>
      </c>
      <c r="B47" s="62">
        <v>3784</v>
      </c>
      <c r="C47" s="62">
        <v>3501</v>
      </c>
      <c r="D47" s="62">
        <v>3863</v>
      </c>
      <c r="E47" s="62">
        <v>4568</v>
      </c>
      <c r="F47" s="62">
        <v>4268</v>
      </c>
      <c r="G47" s="62">
        <v>4255</v>
      </c>
      <c r="H47" s="62">
        <v>3859</v>
      </c>
      <c r="I47" s="62">
        <v>3931</v>
      </c>
      <c r="J47" s="62">
        <v>4844</v>
      </c>
      <c r="K47" s="62">
        <v>4650</v>
      </c>
      <c r="L47" s="62">
        <v>4231</v>
      </c>
      <c r="M47" s="62">
        <v>4072</v>
      </c>
      <c r="N47" s="62">
        <v>3700</v>
      </c>
      <c r="O47" s="62">
        <v>3558</v>
      </c>
      <c r="P47" s="62">
        <v>3673</v>
      </c>
      <c r="Q47" s="62">
        <v>3653</v>
      </c>
      <c r="R47" s="62">
        <v>3519</v>
      </c>
      <c r="S47" s="62">
        <v>4944</v>
      </c>
      <c r="T47" s="62">
        <v>4065</v>
      </c>
      <c r="U47" s="62">
        <v>3427</v>
      </c>
      <c r="V47" s="62">
        <v>4730</v>
      </c>
      <c r="W47" s="62">
        <v>4030</v>
      </c>
      <c r="X47" s="62">
        <v>4407</v>
      </c>
      <c r="Y47" s="62">
        <v>4014</v>
      </c>
      <c r="Z47" s="62">
        <v>1380</v>
      </c>
      <c r="AA47" s="62">
        <v>1128</v>
      </c>
      <c r="AC47" s="20"/>
      <c r="AD47" t="s">
        <v>1723</v>
      </c>
      <c r="AE47" s="62">
        <v>1535</v>
      </c>
      <c r="AF47" s="62">
        <v>1439</v>
      </c>
      <c r="AG47" s="62">
        <v>1540</v>
      </c>
      <c r="AH47" s="62">
        <v>1626</v>
      </c>
      <c r="AI47" s="62">
        <v>1735</v>
      </c>
      <c r="AJ47" s="62">
        <v>1823</v>
      </c>
      <c r="AK47" s="62">
        <v>1677</v>
      </c>
      <c r="AL47" s="62">
        <v>1618</v>
      </c>
      <c r="AM47" s="62">
        <v>1543</v>
      </c>
      <c r="AN47" s="62">
        <v>1357</v>
      </c>
      <c r="AO47" s="62">
        <v>1686</v>
      </c>
      <c r="AP47" s="62">
        <v>1386</v>
      </c>
      <c r="AQ47" s="62">
        <v>1741</v>
      </c>
      <c r="AR47" s="62">
        <v>1623</v>
      </c>
      <c r="AS47" s="62">
        <v>1642</v>
      </c>
      <c r="AT47" s="62">
        <v>1928</v>
      </c>
      <c r="AU47" s="62">
        <v>2050</v>
      </c>
      <c r="AV47" s="62">
        <v>1536</v>
      </c>
      <c r="AW47" s="62">
        <v>1523</v>
      </c>
      <c r="AX47" s="62">
        <v>1045</v>
      </c>
      <c r="AY47" s="62">
        <v>1481</v>
      </c>
      <c r="AZ47" s="62">
        <v>1299</v>
      </c>
      <c r="BA47" s="62">
        <v>1248</v>
      </c>
      <c r="BB47" s="62">
        <v>1317</v>
      </c>
      <c r="BC47" s="62">
        <v>1336</v>
      </c>
      <c r="BD47" s="62">
        <v>1299</v>
      </c>
      <c r="BE47" s="62">
        <v>1243</v>
      </c>
    </row>
    <row r="48" spans="1:57" x14ac:dyDescent="0.25">
      <c r="A48" s="20" t="s">
        <v>1491</v>
      </c>
      <c r="B48" s="62">
        <v>1529</v>
      </c>
      <c r="C48" s="62">
        <v>1398</v>
      </c>
      <c r="D48" s="62">
        <v>1509</v>
      </c>
      <c r="E48" s="62">
        <v>1304</v>
      </c>
      <c r="F48" s="62">
        <v>1519</v>
      </c>
      <c r="G48" s="62">
        <v>1513</v>
      </c>
      <c r="H48" s="62">
        <v>1551</v>
      </c>
      <c r="I48" s="62">
        <v>1544</v>
      </c>
      <c r="J48" s="62">
        <v>1593</v>
      </c>
      <c r="K48" s="62">
        <v>1539</v>
      </c>
      <c r="L48" s="62">
        <v>1382</v>
      </c>
      <c r="M48" s="62">
        <v>1264</v>
      </c>
      <c r="N48" s="62">
        <v>1338</v>
      </c>
      <c r="O48" s="62">
        <v>1382</v>
      </c>
      <c r="P48" s="62">
        <v>1395</v>
      </c>
      <c r="Q48" s="62">
        <v>1342</v>
      </c>
      <c r="R48" s="62">
        <v>1160</v>
      </c>
      <c r="S48" s="62">
        <v>1203</v>
      </c>
      <c r="T48" s="62">
        <v>1132</v>
      </c>
      <c r="U48">
        <v>977</v>
      </c>
      <c r="V48" s="62">
        <v>1087</v>
      </c>
      <c r="W48" s="62">
        <v>1171</v>
      </c>
      <c r="X48" s="62">
        <v>1118</v>
      </c>
      <c r="Y48" s="62">
        <v>1149</v>
      </c>
      <c r="Z48" s="62">
        <v>1038</v>
      </c>
      <c r="AA48">
        <v>999</v>
      </c>
      <c r="AC48" s="20"/>
      <c r="AD48" t="s">
        <v>1452</v>
      </c>
      <c r="AE48" s="62">
        <v>1529</v>
      </c>
      <c r="AF48" s="62">
        <v>1398</v>
      </c>
      <c r="AG48" s="62">
        <v>1509</v>
      </c>
      <c r="AH48" s="62">
        <v>1304</v>
      </c>
      <c r="AI48" s="62">
        <v>1519</v>
      </c>
      <c r="AJ48" s="62">
        <v>1513</v>
      </c>
      <c r="AK48" s="62">
        <v>1551</v>
      </c>
      <c r="AL48" s="62">
        <v>1544</v>
      </c>
      <c r="AM48" s="62">
        <v>1593</v>
      </c>
      <c r="AN48" s="62">
        <v>1539</v>
      </c>
      <c r="AO48" s="62">
        <v>1382</v>
      </c>
      <c r="AP48" s="62">
        <v>1264</v>
      </c>
      <c r="AQ48" s="62">
        <v>1338</v>
      </c>
      <c r="AR48" s="62">
        <v>1382</v>
      </c>
      <c r="AS48" s="62">
        <v>1395</v>
      </c>
      <c r="AT48" s="62">
        <v>1342</v>
      </c>
      <c r="AU48" s="62">
        <v>1160</v>
      </c>
      <c r="AV48" s="62">
        <v>1203</v>
      </c>
      <c r="AW48" s="62">
        <v>1132</v>
      </c>
      <c r="AX48">
        <v>977</v>
      </c>
      <c r="AY48" s="62">
        <v>1087</v>
      </c>
      <c r="AZ48" s="62">
        <v>1171</v>
      </c>
      <c r="BA48" s="62">
        <v>1118</v>
      </c>
      <c r="BB48" s="62">
        <v>1149</v>
      </c>
      <c r="BC48" s="62">
        <v>1038</v>
      </c>
      <c r="BD48">
        <v>999</v>
      </c>
      <c r="BE48">
        <v>992</v>
      </c>
    </row>
    <row r="49" spans="1:57" x14ac:dyDescent="0.25">
      <c r="A49" s="20" t="s">
        <v>1492</v>
      </c>
      <c r="B49">
        <v>632</v>
      </c>
      <c r="C49">
        <v>809</v>
      </c>
      <c r="D49">
        <v>843</v>
      </c>
      <c r="E49">
        <v>931</v>
      </c>
      <c r="F49">
        <v>918</v>
      </c>
      <c r="G49">
        <v>865</v>
      </c>
      <c r="H49">
        <v>925</v>
      </c>
      <c r="I49">
        <v>971</v>
      </c>
      <c r="J49">
        <v>885</v>
      </c>
      <c r="K49">
        <v>865</v>
      </c>
      <c r="L49">
        <v>944</v>
      </c>
      <c r="M49">
        <v>713</v>
      </c>
      <c r="N49">
        <v>746</v>
      </c>
      <c r="O49" s="62">
        <v>1096</v>
      </c>
      <c r="P49" s="62">
        <v>1030</v>
      </c>
      <c r="Q49" s="62">
        <v>1030</v>
      </c>
      <c r="R49" s="62">
        <v>1030</v>
      </c>
      <c r="S49" s="62">
        <v>1025</v>
      </c>
      <c r="T49" s="62">
        <v>1159</v>
      </c>
      <c r="U49">
        <v>943</v>
      </c>
      <c r="V49" s="62">
        <v>1182</v>
      </c>
      <c r="W49" s="62">
        <v>1286</v>
      </c>
      <c r="X49" s="62">
        <v>1486</v>
      </c>
      <c r="Y49" s="62">
        <v>1429</v>
      </c>
      <c r="Z49">
        <v>956</v>
      </c>
      <c r="AA49">
        <v>933</v>
      </c>
      <c r="AC49" s="20"/>
      <c r="AD49" t="s">
        <v>1451</v>
      </c>
      <c r="AE49">
        <v>632</v>
      </c>
      <c r="AF49">
        <v>809</v>
      </c>
      <c r="AG49">
        <v>843</v>
      </c>
      <c r="AH49">
        <v>931</v>
      </c>
      <c r="AI49">
        <v>918</v>
      </c>
      <c r="AJ49">
        <v>865</v>
      </c>
      <c r="AK49">
        <v>925</v>
      </c>
      <c r="AL49">
        <v>971</v>
      </c>
      <c r="AM49">
        <v>885</v>
      </c>
      <c r="AN49">
        <v>865</v>
      </c>
      <c r="AO49">
        <v>944</v>
      </c>
      <c r="AP49">
        <v>713</v>
      </c>
      <c r="AQ49">
        <v>746</v>
      </c>
      <c r="AR49" s="62">
        <v>1096</v>
      </c>
      <c r="AS49" s="62">
        <v>1030</v>
      </c>
      <c r="AT49" s="62">
        <v>1030</v>
      </c>
      <c r="AU49" s="62">
        <v>1030</v>
      </c>
      <c r="AV49" s="62">
        <v>1025</v>
      </c>
      <c r="AW49" s="62">
        <v>1159</v>
      </c>
      <c r="AX49">
        <v>943</v>
      </c>
      <c r="AY49" s="62">
        <v>1182</v>
      </c>
      <c r="AZ49" s="62">
        <v>1286</v>
      </c>
      <c r="BA49" s="62">
        <v>1486</v>
      </c>
      <c r="BB49" s="62">
        <v>1429</v>
      </c>
      <c r="BC49">
        <v>956</v>
      </c>
      <c r="BD49">
        <v>933</v>
      </c>
      <c r="BE49">
        <v>925</v>
      </c>
    </row>
    <row r="50" spans="1:57" x14ac:dyDescent="0.25">
      <c r="A50" s="20" t="s">
        <v>1493</v>
      </c>
      <c r="B50">
        <v>516</v>
      </c>
      <c r="C50">
        <v>485</v>
      </c>
      <c r="D50">
        <v>488</v>
      </c>
      <c r="E50">
        <v>486</v>
      </c>
      <c r="F50">
        <v>507</v>
      </c>
      <c r="G50">
        <v>553</v>
      </c>
      <c r="H50">
        <v>563</v>
      </c>
      <c r="I50">
        <v>585</v>
      </c>
      <c r="J50">
        <v>588</v>
      </c>
      <c r="K50">
        <v>587</v>
      </c>
      <c r="L50">
        <v>594</v>
      </c>
      <c r="M50">
        <v>563</v>
      </c>
      <c r="N50">
        <v>561</v>
      </c>
      <c r="O50">
        <v>574</v>
      </c>
      <c r="P50">
        <v>546</v>
      </c>
      <c r="Q50">
        <v>553</v>
      </c>
      <c r="R50">
        <v>560</v>
      </c>
      <c r="S50">
        <v>562</v>
      </c>
      <c r="T50">
        <v>547</v>
      </c>
      <c r="U50">
        <v>525</v>
      </c>
      <c r="V50">
        <v>542</v>
      </c>
      <c r="W50">
        <v>538</v>
      </c>
      <c r="X50">
        <v>527</v>
      </c>
      <c r="Y50">
        <v>546</v>
      </c>
      <c r="Z50">
        <v>459</v>
      </c>
      <c r="AA50">
        <v>473</v>
      </c>
      <c r="AC50" s="20"/>
      <c r="AD50" t="s">
        <v>1453</v>
      </c>
      <c r="AE50">
        <v>516</v>
      </c>
      <c r="AF50">
        <v>485</v>
      </c>
      <c r="AG50">
        <v>488</v>
      </c>
      <c r="AH50">
        <v>486</v>
      </c>
      <c r="AI50">
        <v>507</v>
      </c>
      <c r="AJ50">
        <v>553</v>
      </c>
      <c r="AK50">
        <v>563</v>
      </c>
      <c r="AL50">
        <v>585</v>
      </c>
      <c r="AM50">
        <v>588</v>
      </c>
      <c r="AN50">
        <v>587</v>
      </c>
      <c r="AO50">
        <v>594</v>
      </c>
      <c r="AP50">
        <v>563</v>
      </c>
      <c r="AQ50">
        <v>561</v>
      </c>
      <c r="AR50">
        <v>574</v>
      </c>
      <c r="AS50">
        <v>546</v>
      </c>
      <c r="AT50">
        <v>553</v>
      </c>
      <c r="AU50">
        <v>560</v>
      </c>
      <c r="AV50">
        <v>562</v>
      </c>
      <c r="AW50">
        <v>547</v>
      </c>
      <c r="AX50">
        <v>525</v>
      </c>
      <c r="AY50">
        <v>542</v>
      </c>
      <c r="AZ50">
        <v>538</v>
      </c>
      <c r="BA50">
        <v>527</v>
      </c>
      <c r="BB50">
        <v>546</v>
      </c>
      <c r="BC50">
        <v>459</v>
      </c>
      <c r="BD50">
        <v>473</v>
      </c>
      <c r="BE50">
        <v>482</v>
      </c>
    </row>
    <row r="51" spans="1:57" ht="24" x14ac:dyDescent="0.25">
      <c r="A51" s="20" t="s">
        <v>1494</v>
      </c>
      <c r="B51">
        <v>375</v>
      </c>
      <c r="C51">
        <v>287</v>
      </c>
      <c r="D51">
        <v>313</v>
      </c>
      <c r="E51">
        <v>297</v>
      </c>
      <c r="F51">
        <v>325</v>
      </c>
      <c r="G51">
        <v>329</v>
      </c>
      <c r="H51">
        <v>332</v>
      </c>
      <c r="I51">
        <v>347</v>
      </c>
      <c r="J51">
        <v>373</v>
      </c>
      <c r="K51">
        <v>301</v>
      </c>
      <c r="L51">
        <v>248</v>
      </c>
      <c r="M51">
        <v>199</v>
      </c>
      <c r="N51">
        <v>183</v>
      </c>
      <c r="O51">
        <v>202</v>
      </c>
      <c r="P51">
        <v>224</v>
      </c>
      <c r="Q51">
        <v>219</v>
      </c>
      <c r="R51">
        <v>207</v>
      </c>
      <c r="S51">
        <v>196</v>
      </c>
      <c r="T51">
        <v>175</v>
      </c>
      <c r="U51">
        <v>145</v>
      </c>
      <c r="V51">
        <v>181</v>
      </c>
      <c r="W51">
        <v>170</v>
      </c>
      <c r="X51">
        <v>158</v>
      </c>
      <c r="Y51">
        <v>169</v>
      </c>
      <c r="Z51">
        <v>173</v>
      </c>
      <c r="AA51">
        <v>180</v>
      </c>
      <c r="AC51" s="20"/>
      <c r="AD51" t="s">
        <v>1923</v>
      </c>
      <c r="AE51">
        <v>375</v>
      </c>
      <c r="AF51">
        <v>287</v>
      </c>
      <c r="AG51">
        <v>313</v>
      </c>
      <c r="AH51">
        <v>297</v>
      </c>
      <c r="AI51">
        <v>325</v>
      </c>
      <c r="AJ51">
        <v>329</v>
      </c>
      <c r="AK51">
        <v>332</v>
      </c>
      <c r="AL51">
        <v>347</v>
      </c>
      <c r="AM51">
        <v>373</v>
      </c>
      <c r="AN51">
        <v>301</v>
      </c>
      <c r="AO51">
        <v>248</v>
      </c>
      <c r="AP51">
        <v>199</v>
      </c>
      <c r="AQ51">
        <v>183</v>
      </c>
      <c r="AR51">
        <v>202</v>
      </c>
      <c r="AS51">
        <v>224</v>
      </c>
      <c r="AT51">
        <v>219</v>
      </c>
      <c r="AU51">
        <v>207</v>
      </c>
      <c r="AV51">
        <v>196</v>
      </c>
      <c r="AW51">
        <v>175</v>
      </c>
      <c r="AX51">
        <v>145</v>
      </c>
      <c r="AY51">
        <v>181</v>
      </c>
      <c r="AZ51">
        <v>170</v>
      </c>
      <c r="BA51">
        <v>158</v>
      </c>
      <c r="BB51">
        <v>169</v>
      </c>
      <c r="BC51">
        <v>173</v>
      </c>
      <c r="BD51">
        <v>180</v>
      </c>
      <c r="BE51">
        <v>174</v>
      </c>
    </row>
    <row r="52" spans="1:57" ht="24" x14ac:dyDescent="0.25">
      <c r="A52" s="20" t="s">
        <v>1495</v>
      </c>
      <c r="B52">
        <v>1</v>
      </c>
      <c r="C52">
        <v>1</v>
      </c>
      <c r="D52">
        <v>1</v>
      </c>
      <c r="E52">
        <v>1</v>
      </c>
      <c r="F52">
        <v>1</v>
      </c>
      <c r="G52">
        <v>1</v>
      </c>
      <c r="H52">
        <v>2</v>
      </c>
      <c r="I52">
        <v>2</v>
      </c>
      <c r="J52">
        <v>2</v>
      </c>
      <c r="K52">
        <v>2</v>
      </c>
      <c r="L52">
        <v>2</v>
      </c>
      <c r="M52">
        <v>3</v>
      </c>
      <c r="N52">
        <v>3</v>
      </c>
      <c r="O52">
        <v>3</v>
      </c>
      <c r="P52">
        <v>2</v>
      </c>
      <c r="Q52">
        <v>3</v>
      </c>
      <c r="R52">
        <v>3</v>
      </c>
      <c r="S52">
        <v>3</v>
      </c>
      <c r="T52">
        <v>2</v>
      </c>
      <c r="U52">
        <v>1</v>
      </c>
      <c r="V52">
        <v>1</v>
      </c>
      <c r="W52">
        <v>3</v>
      </c>
      <c r="X52">
        <v>2</v>
      </c>
      <c r="Y52">
        <v>2</v>
      </c>
      <c r="Z52">
        <v>2</v>
      </c>
      <c r="AA52">
        <v>3</v>
      </c>
      <c r="AC52" s="20"/>
      <c r="AD52" t="s">
        <v>1924</v>
      </c>
      <c r="AE52">
        <v>6</v>
      </c>
      <c r="AF52">
        <v>6</v>
      </c>
      <c r="AG52">
        <v>6</v>
      </c>
      <c r="AH52">
        <v>6</v>
      </c>
      <c r="AI52">
        <v>6</v>
      </c>
      <c r="AJ52">
        <v>6</v>
      </c>
      <c r="AK52">
        <v>6</v>
      </c>
      <c r="AL52">
        <v>6</v>
      </c>
      <c r="AM52">
        <v>6</v>
      </c>
      <c r="AN52">
        <v>6</v>
      </c>
      <c r="AO52">
        <v>7</v>
      </c>
      <c r="AP52">
        <v>7</v>
      </c>
      <c r="AQ52">
        <v>7</v>
      </c>
      <c r="AR52">
        <v>7</v>
      </c>
      <c r="AS52">
        <v>7</v>
      </c>
      <c r="AT52">
        <v>7</v>
      </c>
      <c r="AU52">
        <v>7</v>
      </c>
      <c r="AV52">
        <v>7</v>
      </c>
      <c r="AW52">
        <v>7</v>
      </c>
      <c r="AX52">
        <v>7</v>
      </c>
      <c r="AY52">
        <v>7</v>
      </c>
      <c r="AZ52">
        <v>7</v>
      </c>
      <c r="BA52">
        <v>7</v>
      </c>
      <c r="BB52">
        <v>7</v>
      </c>
      <c r="BC52">
        <v>7</v>
      </c>
      <c r="BD52">
        <v>7</v>
      </c>
      <c r="BE52">
        <v>7</v>
      </c>
    </row>
    <row r="53" spans="1:57" ht="24" x14ac:dyDescent="0.25">
      <c r="A53" s="30" t="s">
        <v>1496</v>
      </c>
      <c r="B53" s="62">
        <v>219413</v>
      </c>
      <c r="C53" s="62">
        <v>220165</v>
      </c>
      <c r="D53" s="62">
        <v>230609</v>
      </c>
      <c r="E53" s="62">
        <v>225797</v>
      </c>
      <c r="F53" s="62">
        <v>232298</v>
      </c>
      <c r="G53" s="62">
        <v>236907</v>
      </c>
      <c r="H53" s="62">
        <v>241332</v>
      </c>
      <c r="I53" s="62">
        <v>235579</v>
      </c>
      <c r="J53" s="62">
        <v>218236</v>
      </c>
      <c r="K53" s="62">
        <v>221493</v>
      </c>
      <c r="L53" s="62">
        <v>227435</v>
      </c>
      <c r="M53" s="62">
        <v>203427</v>
      </c>
      <c r="N53" s="62">
        <v>204703</v>
      </c>
      <c r="O53" s="62">
        <v>209935</v>
      </c>
      <c r="P53" s="62">
        <v>225419</v>
      </c>
      <c r="Q53" s="62">
        <v>230700</v>
      </c>
      <c r="R53" s="62">
        <v>236298</v>
      </c>
      <c r="S53" s="62">
        <v>244574</v>
      </c>
      <c r="T53" s="62">
        <v>257532</v>
      </c>
      <c r="U53" s="62">
        <v>253524</v>
      </c>
      <c r="V53" s="62">
        <v>267560</v>
      </c>
      <c r="W53" s="62">
        <v>276413</v>
      </c>
      <c r="X53" s="62">
        <v>276201</v>
      </c>
      <c r="Y53" s="62">
        <v>299785</v>
      </c>
      <c r="Z53" s="62">
        <v>307079</v>
      </c>
      <c r="AA53" s="62">
        <v>291735</v>
      </c>
      <c r="AC53" s="30"/>
      <c r="AD53" t="s">
        <v>280</v>
      </c>
      <c r="AE53">
        <v>1</v>
      </c>
      <c r="AF53">
        <v>1</v>
      </c>
      <c r="AG53">
        <v>1</v>
      </c>
      <c r="AH53">
        <v>1</v>
      </c>
      <c r="AI53">
        <v>1</v>
      </c>
      <c r="AJ53">
        <v>1</v>
      </c>
      <c r="AK53">
        <v>2</v>
      </c>
      <c r="AL53">
        <v>2</v>
      </c>
      <c r="AM53">
        <v>2</v>
      </c>
      <c r="AN53">
        <v>2</v>
      </c>
      <c r="AO53">
        <v>2</v>
      </c>
      <c r="AP53">
        <v>3</v>
      </c>
      <c r="AQ53">
        <v>3</v>
      </c>
      <c r="AR53">
        <v>3</v>
      </c>
      <c r="AS53">
        <v>2</v>
      </c>
      <c r="AT53">
        <v>3</v>
      </c>
      <c r="AU53">
        <v>3</v>
      </c>
      <c r="AV53">
        <v>3</v>
      </c>
      <c r="AW53">
        <v>2</v>
      </c>
      <c r="AX53">
        <v>1</v>
      </c>
      <c r="AY53">
        <v>1</v>
      </c>
      <c r="AZ53">
        <v>3</v>
      </c>
      <c r="BA53">
        <v>2</v>
      </c>
      <c r="BB53">
        <v>2</v>
      </c>
      <c r="BC53">
        <v>2</v>
      </c>
      <c r="BD53">
        <v>3</v>
      </c>
      <c r="BE53">
        <v>3</v>
      </c>
    </row>
    <row r="54" spans="1:57" x14ac:dyDescent="0.25">
      <c r="A54" s="30" t="s">
        <v>1497</v>
      </c>
      <c r="B54" s="62">
        <v>103463</v>
      </c>
      <c r="C54" s="62">
        <v>117569</v>
      </c>
      <c r="D54" s="62">
        <v>107863</v>
      </c>
      <c r="E54" s="62">
        <v>97829</v>
      </c>
      <c r="F54" s="62">
        <v>96689</v>
      </c>
      <c r="G54" s="62">
        <v>98492</v>
      </c>
      <c r="H54" s="62">
        <v>99750</v>
      </c>
      <c r="I54" s="62">
        <v>106961</v>
      </c>
      <c r="J54" s="62">
        <v>110491</v>
      </c>
      <c r="K54" s="62">
        <v>102733</v>
      </c>
      <c r="L54" s="62">
        <v>101726</v>
      </c>
      <c r="M54" s="62">
        <v>93731</v>
      </c>
      <c r="N54" s="62">
        <v>94443</v>
      </c>
      <c r="O54" s="62">
        <v>98310</v>
      </c>
      <c r="P54" s="62">
        <v>108391</v>
      </c>
      <c r="Q54" s="62">
        <v>113139</v>
      </c>
      <c r="R54" s="62">
        <v>114116</v>
      </c>
      <c r="S54" s="62">
        <v>115345</v>
      </c>
      <c r="T54" s="62">
        <v>114342</v>
      </c>
      <c r="U54" s="62">
        <v>106410</v>
      </c>
      <c r="V54" s="62">
        <v>116992</v>
      </c>
      <c r="W54" s="62">
        <v>111660</v>
      </c>
      <c r="X54" s="62">
        <v>105805</v>
      </c>
      <c r="Y54" s="62">
        <v>99763</v>
      </c>
      <c r="Z54" s="62">
        <v>103201</v>
      </c>
      <c r="AA54" s="62">
        <v>110751</v>
      </c>
      <c r="AC54" s="30"/>
      <c r="AD54" t="s">
        <v>1925</v>
      </c>
      <c r="AE54" s="62">
        <v>219413</v>
      </c>
      <c r="AF54" s="62">
        <v>220165</v>
      </c>
      <c r="AG54" s="62">
        <v>230609</v>
      </c>
      <c r="AH54" s="62">
        <v>225797</v>
      </c>
      <c r="AI54" s="62">
        <v>232298</v>
      </c>
      <c r="AJ54" s="62">
        <v>236907</v>
      </c>
      <c r="AK54" s="62">
        <v>241332</v>
      </c>
      <c r="AL54" s="62">
        <v>235579</v>
      </c>
      <c r="AM54" s="62">
        <v>218236</v>
      </c>
      <c r="AN54" s="62">
        <v>221493</v>
      </c>
      <c r="AO54" s="62">
        <v>227435</v>
      </c>
      <c r="AP54" s="62">
        <v>203427</v>
      </c>
      <c r="AQ54" s="62">
        <v>204703</v>
      </c>
      <c r="AR54" s="62">
        <v>209935</v>
      </c>
      <c r="AS54" s="62">
        <v>225419</v>
      </c>
      <c r="AT54" s="62">
        <v>230700</v>
      </c>
      <c r="AU54" s="62">
        <v>236298</v>
      </c>
      <c r="AV54" s="62">
        <v>244574</v>
      </c>
      <c r="AW54" s="62">
        <v>257532</v>
      </c>
      <c r="AX54" s="62">
        <v>253524</v>
      </c>
      <c r="AY54" s="62">
        <v>280282</v>
      </c>
      <c r="AZ54" s="62">
        <v>288494</v>
      </c>
      <c r="BA54" s="62">
        <v>287732</v>
      </c>
      <c r="BB54" s="62">
        <v>316405</v>
      </c>
      <c r="BC54" s="62">
        <v>324308</v>
      </c>
      <c r="BD54" s="62">
        <v>310430</v>
      </c>
      <c r="BE54" s="62">
        <v>309252</v>
      </c>
    </row>
    <row r="55" spans="1:57" x14ac:dyDescent="0.25">
      <c r="A55" s="30" t="s">
        <v>1498</v>
      </c>
      <c r="B55" s="62">
        <v>31232</v>
      </c>
      <c r="C55" s="62">
        <v>31413</v>
      </c>
      <c r="D55" s="62">
        <v>31370</v>
      </c>
      <c r="E55" s="62">
        <v>30764</v>
      </c>
      <c r="F55" s="62">
        <v>30917</v>
      </c>
      <c r="G55" s="62">
        <v>30605</v>
      </c>
      <c r="H55" s="62">
        <v>30259</v>
      </c>
      <c r="I55" s="62">
        <v>29619</v>
      </c>
      <c r="J55" s="62">
        <v>29031</v>
      </c>
      <c r="K55" s="62">
        <v>28557</v>
      </c>
      <c r="L55" s="62">
        <v>28169</v>
      </c>
      <c r="M55" s="62">
        <v>27831</v>
      </c>
      <c r="N55" s="62">
        <v>27369</v>
      </c>
      <c r="O55" s="62">
        <v>27376</v>
      </c>
      <c r="P55" s="62">
        <v>27032</v>
      </c>
      <c r="Q55" s="62">
        <v>27238</v>
      </c>
      <c r="R55" s="62">
        <v>27283</v>
      </c>
      <c r="S55" s="62">
        <v>27439</v>
      </c>
      <c r="T55" s="62">
        <v>27804</v>
      </c>
      <c r="U55" s="62">
        <v>27616</v>
      </c>
      <c r="V55" s="62">
        <v>27685</v>
      </c>
      <c r="W55" s="62">
        <v>26884</v>
      </c>
      <c r="X55" s="62">
        <v>26643</v>
      </c>
      <c r="Y55" s="62">
        <v>26351</v>
      </c>
      <c r="Z55" s="62">
        <v>26366</v>
      </c>
      <c r="AA55" s="62">
        <v>26229</v>
      </c>
      <c r="AC55" s="30"/>
      <c r="AD55" t="s">
        <v>1926</v>
      </c>
      <c r="AE55" s="62">
        <v>103463</v>
      </c>
      <c r="AF55" s="62">
        <v>117569</v>
      </c>
      <c r="AG55" s="62">
        <v>107863</v>
      </c>
      <c r="AH55" s="62">
        <v>97829</v>
      </c>
      <c r="AI55" s="62">
        <v>96689</v>
      </c>
      <c r="AJ55" s="62">
        <v>98492</v>
      </c>
      <c r="AK55" s="62">
        <v>99750</v>
      </c>
      <c r="AL55" s="62">
        <v>106961</v>
      </c>
      <c r="AM55" s="62">
        <v>110491</v>
      </c>
      <c r="AN55" s="62">
        <v>102733</v>
      </c>
      <c r="AO55" s="62">
        <v>101726</v>
      </c>
      <c r="AP55" s="62">
        <v>93731</v>
      </c>
      <c r="AQ55" s="62">
        <v>94443</v>
      </c>
      <c r="AR55" s="62">
        <v>98310</v>
      </c>
      <c r="AS55" s="62">
        <v>108391</v>
      </c>
      <c r="AT55" s="62">
        <v>113139</v>
      </c>
      <c r="AU55" s="62">
        <v>114116</v>
      </c>
      <c r="AV55" s="62">
        <v>115345</v>
      </c>
      <c r="AW55" s="62">
        <v>114342</v>
      </c>
      <c r="AX55" s="62">
        <v>106410</v>
      </c>
      <c r="AY55" s="62">
        <v>116992</v>
      </c>
      <c r="AZ55" s="62">
        <v>111660</v>
      </c>
      <c r="BA55" s="62">
        <v>105805</v>
      </c>
      <c r="BB55" s="62">
        <v>99763</v>
      </c>
      <c r="BC55" s="62">
        <v>103400</v>
      </c>
      <c r="BD55" s="62">
        <v>110887</v>
      </c>
      <c r="BE55" s="62">
        <v>116594</v>
      </c>
    </row>
    <row r="56" spans="1:57" x14ac:dyDescent="0.25">
      <c r="A56" s="20" t="s">
        <v>1499</v>
      </c>
      <c r="B56" s="62">
        <v>6566</v>
      </c>
      <c r="C56" s="62">
        <v>6576</v>
      </c>
      <c r="D56" s="62">
        <v>6767</v>
      </c>
      <c r="E56" s="62">
        <v>6864</v>
      </c>
      <c r="F56" s="62">
        <v>6989</v>
      </c>
      <c r="G56" s="62">
        <v>7146</v>
      </c>
      <c r="H56" s="62">
        <v>7100</v>
      </c>
      <c r="I56" s="62">
        <v>6965</v>
      </c>
      <c r="J56" s="62">
        <v>6891</v>
      </c>
      <c r="K56" s="62">
        <v>6897</v>
      </c>
      <c r="L56" s="62">
        <v>6824</v>
      </c>
      <c r="M56" s="62">
        <v>6784</v>
      </c>
      <c r="N56" s="62">
        <v>6794</v>
      </c>
      <c r="O56" s="62">
        <v>6801</v>
      </c>
      <c r="P56" s="62">
        <v>6674</v>
      </c>
      <c r="Q56" s="62">
        <v>6755</v>
      </c>
      <c r="R56" s="62">
        <v>6863</v>
      </c>
      <c r="S56" s="62">
        <v>6979</v>
      </c>
      <c r="T56" s="62">
        <v>6954</v>
      </c>
      <c r="U56" s="62">
        <v>6920</v>
      </c>
      <c r="V56" s="62">
        <v>6853</v>
      </c>
      <c r="W56" s="62">
        <v>6757</v>
      </c>
      <c r="X56" s="62">
        <v>6670</v>
      </c>
      <c r="Y56" s="62">
        <v>6619</v>
      </c>
      <c r="Z56" s="62">
        <v>6567</v>
      </c>
      <c r="AA56" s="62">
        <v>6661</v>
      </c>
      <c r="AC56" s="20"/>
      <c r="AD56" t="s">
        <v>1927</v>
      </c>
      <c r="AE56" s="62">
        <v>31198</v>
      </c>
      <c r="AF56" s="62">
        <v>31382</v>
      </c>
      <c r="AG56" s="62">
        <v>31344</v>
      </c>
      <c r="AH56" s="62">
        <v>30799</v>
      </c>
      <c r="AI56" s="62">
        <v>30984</v>
      </c>
      <c r="AJ56" s="62">
        <v>30689</v>
      </c>
      <c r="AK56" s="62">
        <v>30347</v>
      </c>
      <c r="AL56" s="62">
        <v>29734</v>
      </c>
      <c r="AM56" s="62">
        <v>29146</v>
      </c>
      <c r="AN56" s="62">
        <v>28702</v>
      </c>
      <c r="AO56" s="62">
        <v>28369</v>
      </c>
      <c r="AP56" s="62">
        <v>28119</v>
      </c>
      <c r="AQ56" s="62">
        <v>27760</v>
      </c>
      <c r="AR56" s="62">
        <v>27750</v>
      </c>
      <c r="AS56" s="62">
        <v>27377</v>
      </c>
      <c r="AT56" s="62">
        <v>27544</v>
      </c>
      <c r="AU56" s="62">
        <v>27544</v>
      </c>
      <c r="AV56" s="62">
        <v>27595</v>
      </c>
      <c r="AW56" s="62">
        <v>27912</v>
      </c>
      <c r="AX56" s="62">
        <v>27680</v>
      </c>
      <c r="AY56" s="62">
        <v>27745</v>
      </c>
      <c r="AZ56" s="62">
        <v>26896</v>
      </c>
      <c r="BA56" s="62">
        <v>26500</v>
      </c>
      <c r="BB56" s="62">
        <v>26502</v>
      </c>
      <c r="BC56" s="62">
        <v>26558</v>
      </c>
      <c r="BD56" s="62">
        <v>26615</v>
      </c>
      <c r="BE56" s="62">
        <v>26298</v>
      </c>
    </row>
    <row r="57" spans="1:57" x14ac:dyDescent="0.25">
      <c r="A57" s="20" t="s">
        <v>1474</v>
      </c>
      <c r="B57" s="62">
        <v>7762</v>
      </c>
      <c r="C57" s="62">
        <v>7860</v>
      </c>
      <c r="D57" s="62">
        <v>7812</v>
      </c>
      <c r="E57" s="62">
        <v>7713</v>
      </c>
      <c r="F57" s="62">
        <v>7691</v>
      </c>
      <c r="G57" s="62">
        <v>7398</v>
      </c>
      <c r="H57" s="62">
        <v>7274</v>
      </c>
      <c r="I57" s="62">
        <v>7168</v>
      </c>
      <c r="J57" s="62">
        <v>6978</v>
      </c>
      <c r="K57" s="62">
        <v>6915</v>
      </c>
      <c r="L57" s="62">
        <v>6788</v>
      </c>
      <c r="M57" s="62">
        <v>6793</v>
      </c>
      <c r="N57" s="62">
        <v>6535</v>
      </c>
      <c r="O57" s="62">
        <v>6492</v>
      </c>
      <c r="P57" s="62">
        <v>6407</v>
      </c>
      <c r="Q57" s="62">
        <v>6387</v>
      </c>
      <c r="R57" s="62">
        <v>6488</v>
      </c>
      <c r="S57" s="62">
        <v>6392</v>
      </c>
      <c r="T57" s="62">
        <v>6510</v>
      </c>
      <c r="U57" s="62">
        <v>6243</v>
      </c>
      <c r="V57" s="62">
        <v>6092</v>
      </c>
      <c r="W57" s="62">
        <v>6180</v>
      </c>
      <c r="X57" s="62">
        <v>6247</v>
      </c>
      <c r="Y57" s="62">
        <v>6368</v>
      </c>
      <c r="Z57" s="62">
        <v>6501</v>
      </c>
      <c r="AA57" s="62">
        <v>6497</v>
      </c>
      <c r="AC57" s="20"/>
      <c r="AD57" t="s">
        <v>286</v>
      </c>
      <c r="AE57" s="62">
        <v>6566</v>
      </c>
      <c r="AF57" s="62">
        <v>6576</v>
      </c>
      <c r="AG57" s="62">
        <v>6767</v>
      </c>
      <c r="AH57" s="62">
        <v>6864</v>
      </c>
      <c r="AI57" s="62">
        <v>6989</v>
      </c>
      <c r="AJ57" s="62">
        <v>7146</v>
      </c>
      <c r="AK57" s="62">
        <v>7100</v>
      </c>
      <c r="AL57" s="62">
        <v>6965</v>
      </c>
      <c r="AM57" s="62">
        <v>6891</v>
      </c>
      <c r="AN57" s="62">
        <v>6897</v>
      </c>
      <c r="AO57" s="62">
        <v>6824</v>
      </c>
      <c r="AP57" s="62">
        <v>6784</v>
      </c>
      <c r="AQ57" s="62">
        <v>6794</v>
      </c>
      <c r="AR57" s="62">
        <v>6801</v>
      </c>
      <c r="AS57" s="62">
        <v>6674</v>
      </c>
      <c r="AT57" s="62">
        <v>6755</v>
      </c>
      <c r="AU57" s="62">
        <v>6863</v>
      </c>
      <c r="AV57" s="62">
        <v>6979</v>
      </c>
      <c r="AW57" s="62">
        <v>6954</v>
      </c>
      <c r="AX57" s="62">
        <v>6920</v>
      </c>
      <c r="AY57" s="62">
        <v>6853</v>
      </c>
      <c r="AZ57" s="62">
        <v>6757</v>
      </c>
      <c r="BA57" s="62">
        <v>6670</v>
      </c>
      <c r="BB57" s="62">
        <v>6619</v>
      </c>
      <c r="BC57" s="62">
        <v>6567</v>
      </c>
      <c r="BD57" s="62">
        <v>6661</v>
      </c>
      <c r="BE57" s="62">
        <v>6805</v>
      </c>
    </row>
    <row r="58" spans="1:57" x14ac:dyDescent="0.25">
      <c r="A58" s="20" t="s">
        <v>1500</v>
      </c>
      <c r="B58" s="62">
        <v>7182</v>
      </c>
      <c r="C58" s="62">
        <v>7267</v>
      </c>
      <c r="D58" s="62">
        <v>7255</v>
      </c>
      <c r="E58" s="62">
        <v>7169</v>
      </c>
      <c r="F58" s="62">
        <v>7159</v>
      </c>
      <c r="G58" s="62">
        <v>6967</v>
      </c>
      <c r="H58" s="62">
        <v>6822</v>
      </c>
      <c r="I58" s="62">
        <v>6444</v>
      </c>
      <c r="J58" s="62">
        <v>6054</v>
      </c>
      <c r="K58" s="62">
        <v>5786</v>
      </c>
      <c r="L58" s="62">
        <v>5656</v>
      </c>
      <c r="M58" s="62">
        <v>5472</v>
      </c>
      <c r="N58" s="62">
        <v>5394</v>
      </c>
      <c r="O58" s="62">
        <v>5496</v>
      </c>
      <c r="P58" s="62">
        <v>5395</v>
      </c>
      <c r="Q58" s="62">
        <v>5372</v>
      </c>
      <c r="R58" s="62">
        <v>5292</v>
      </c>
      <c r="S58" s="62">
        <v>5213</v>
      </c>
      <c r="T58" s="62">
        <v>5136</v>
      </c>
      <c r="U58" s="62">
        <v>5058</v>
      </c>
      <c r="V58" s="62">
        <v>5103</v>
      </c>
      <c r="W58" s="62">
        <v>4760</v>
      </c>
      <c r="X58" s="62">
        <v>4834</v>
      </c>
      <c r="Y58" s="62">
        <v>4669</v>
      </c>
      <c r="Z58" s="62">
        <v>4663</v>
      </c>
      <c r="AA58" s="62">
        <v>4628</v>
      </c>
      <c r="AC58" s="20"/>
      <c r="AD58" t="s">
        <v>1412</v>
      </c>
      <c r="AE58" s="62">
        <v>7806</v>
      </c>
      <c r="AF58" s="62">
        <v>7913</v>
      </c>
      <c r="AG58" s="62">
        <v>7851</v>
      </c>
      <c r="AH58" s="62">
        <v>7812</v>
      </c>
      <c r="AI58" s="62">
        <v>7805</v>
      </c>
      <c r="AJ58" s="62">
        <v>7523</v>
      </c>
      <c r="AK58" s="62">
        <v>7399</v>
      </c>
      <c r="AL58" s="62">
        <v>7322</v>
      </c>
      <c r="AM58" s="62">
        <v>7105</v>
      </c>
      <c r="AN58" s="62">
        <v>7055</v>
      </c>
      <c r="AO58" s="62">
        <v>6983</v>
      </c>
      <c r="AP58" s="62">
        <v>7048</v>
      </c>
      <c r="AQ58" s="62">
        <v>6887</v>
      </c>
      <c r="AR58" s="62">
        <v>6823</v>
      </c>
      <c r="AS58" s="62">
        <v>6735</v>
      </c>
      <c r="AT58" s="62">
        <v>6765</v>
      </c>
      <c r="AU58" s="62">
        <v>6852</v>
      </c>
      <c r="AV58" s="62">
        <v>6688</v>
      </c>
      <c r="AW58" s="62">
        <v>6831</v>
      </c>
      <c r="AX58" s="62">
        <v>6546</v>
      </c>
      <c r="AY58" s="62">
        <v>6416</v>
      </c>
      <c r="AZ58" s="62">
        <v>6502</v>
      </c>
      <c r="BA58" s="62">
        <v>6384</v>
      </c>
      <c r="BB58" s="62">
        <v>6553</v>
      </c>
      <c r="BC58" s="62">
        <v>6572</v>
      </c>
      <c r="BD58" s="62">
        <v>6651</v>
      </c>
      <c r="BE58" s="62">
        <v>6541</v>
      </c>
    </row>
    <row r="59" spans="1:57" x14ac:dyDescent="0.25">
      <c r="A59" s="20" t="s">
        <v>1501</v>
      </c>
      <c r="B59" s="62">
        <v>1486</v>
      </c>
      <c r="C59" s="62">
        <v>1555</v>
      </c>
      <c r="D59" s="62">
        <v>1500</v>
      </c>
      <c r="E59" s="62">
        <v>1569</v>
      </c>
      <c r="F59" s="62">
        <v>1679</v>
      </c>
      <c r="G59" s="62">
        <v>1731</v>
      </c>
      <c r="H59" s="62">
        <v>1704</v>
      </c>
      <c r="I59" s="62">
        <v>1786</v>
      </c>
      <c r="J59" s="62">
        <v>1949</v>
      </c>
      <c r="K59" s="62">
        <v>1972</v>
      </c>
      <c r="L59" s="62">
        <v>2001</v>
      </c>
      <c r="M59" s="62">
        <v>2088</v>
      </c>
      <c r="N59" s="62">
        <v>2141</v>
      </c>
      <c r="O59" s="62">
        <v>2175</v>
      </c>
      <c r="P59" s="62">
        <v>2122</v>
      </c>
      <c r="Q59" s="62">
        <v>2254</v>
      </c>
      <c r="R59" s="62">
        <v>2278</v>
      </c>
      <c r="S59" s="62">
        <v>2480</v>
      </c>
      <c r="T59" s="62">
        <v>2455</v>
      </c>
      <c r="U59" s="62">
        <v>2414</v>
      </c>
      <c r="V59" s="62">
        <v>2482</v>
      </c>
      <c r="W59" s="62">
        <v>2519</v>
      </c>
      <c r="X59" s="62">
        <v>2625</v>
      </c>
      <c r="Y59" s="62">
        <v>2530</v>
      </c>
      <c r="Z59" s="62">
        <v>2514</v>
      </c>
      <c r="AA59" s="62">
        <v>2651</v>
      </c>
      <c r="AC59" s="20"/>
      <c r="AD59" t="s">
        <v>290</v>
      </c>
      <c r="AE59" s="62">
        <v>7182</v>
      </c>
      <c r="AF59" s="62">
        <v>7267</v>
      </c>
      <c r="AG59" s="62">
        <v>7255</v>
      </c>
      <c r="AH59" s="62">
        <v>7169</v>
      </c>
      <c r="AI59" s="62">
        <v>7159</v>
      </c>
      <c r="AJ59" s="62">
        <v>6967</v>
      </c>
      <c r="AK59" s="62">
        <v>6822</v>
      </c>
      <c r="AL59" s="62">
        <v>6444</v>
      </c>
      <c r="AM59" s="62">
        <v>6054</v>
      </c>
      <c r="AN59" s="62">
        <v>5786</v>
      </c>
      <c r="AO59" s="62">
        <v>5656</v>
      </c>
      <c r="AP59" s="62">
        <v>5472</v>
      </c>
      <c r="AQ59" s="62">
        <v>5394</v>
      </c>
      <c r="AR59" s="62">
        <v>5496</v>
      </c>
      <c r="AS59" s="62">
        <v>5395</v>
      </c>
      <c r="AT59" s="62">
        <v>5310</v>
      </c>
      <c r="AU59" s="62">
        <v>5220</v>
      </c>
      <c r="AV59" s="62">
        <v>5130</v>
      </c>
      <c r="AW59" s="62">
        <v>5042</v>
      </c>
      <c r="AX59" s="62">
        <v>4954</v>
      </c>
      <c r="AY59" s="62">
        <v>4992</v>
      </c>
      <c r="AZ59" s="62">
        <v>4634</v>
      </c>
      <c r="BA59" s="62">
        <v>4680</v>
      </c>
      <c r="BB59" s="62">
        <v>4531</v>
      </c>
      <c r="BC59" s="62">
        <v>4509</v>
      </c>
      <c r="BD59" s="62">
        <v>4467</v>
      </c>
      <c r="BE59" s="62">
        <v>4306</v>
      </c>
    </row>
    <row r="60" spans="1:57" x14ac:dyDescent="0.25">
      <c r="A60" s="20" t="s">
        <v>1502</v>
      </c>
      <c r="B60" s="62">
        <v>3860</v>
      </c>
      <c r="C60" s="62">
        <v>3727</v>
      </c>
      <c r="D60" s="62">
        <v>3626</v>
      </c>
      <c r="E60" s="62">
        <v>3091</v>
      </c>
      <c r="F60" s="62">
        <v>3104</v>
      </c>
      <c r="G60" s="62">
        <v>3056</v>
      </c>
      <c r="H60" s="62">
        <v>3038</v>
      </c>
      <c r="I60" s="62">
        <v>3017</v>
      </c>
      <c r="J60" s="62">
        <v>3029</v>
      </c>
      <c r="K60" s="62">
        <v>2848</v>
      </c>
      <c r="L60" s="62">
        <v>2730</v>
      </c>
      <c r="M60" s="62">
        <v>2720</v>
      </c>
      <c r="N60" s="62">
        <v>2552</v>
      </c>
      <c r="O60" s="62">
        <v>2559</v>
      </c>
      <c r="P60" s="62">
        <v>2611</v>
      </c>
      <c r="Q60" s="62">
        <v>2565</v>
      </c>
      <c r="R60" s="62">
        <v>2622</v>
      </c>
      <c r="S60" s="62">
        <v>2591</v>
      </c>
      <c r="T60" s="62">
        <v>3026</v>
      </c>
      <c r="U60" s="62">
        <v>3194</v>
      </c>
      <c r="V60" s="62">
        <v>3293</v>
      </c>
      <c r="W60" s="62">
        <v>2849</v>
      </c>
      <c r="X60" s="62">
        <v>2658</v>
      </c>
      <c r="Y60" s="62">
        <v>2584</v>
      </c>
      <c r="Z60" s="62">
        <v>2593</v>
      </c>
      <c r="AA60" s="62">
        <v>2436</v>
      </c>
      <c r="AC60" s="20"/>
      <c r="AD60" t="s">
        <v>287</v>
      </c>
      <c r="AE60" s="62">
        <v>1486</v>
      </c>
      <c r="AF60" s="62">
        <v>1555</v>
      </c>
      <c r="AG60" s="62">
        <v>1500</v>
      </c>
      <c r="AH60" s="62">
        <v>1569</v>
      </c>
      <c r="AI60" s="62">
        <v>1679</v>
      </c>
      <c r="AJ60" s="62">
        <v>1731</v>
      </c>
      <c r="AK60" s="62">
        <v>1704</v>
      </c>
      <c r="AL60" s="62">
        <v>1786</v>
      </c>
      <c r="AM60" s="62">
        <v>1949</v>
      </c>
      <c r="AN60" s="62">
        <v>1972</v>
      </c>
      <c r="AO60" s="62">
        <v>2001</v>
      </c>
      <c r="AP60" s="62">
        <v>2088</v>
      </c>
      <c r="AQ60" s="62">
        <v>2141</v>
      </c>
      <c r="AR60" s="62">
        <v>2175</v>
      </c>
      <c r="AS60" s="62">
        <v>2122</v>
      </c>
      <c r="AT60" s="62">
        <v>2254</v>
      </c>
      <c r="AU60" s="62">
        <v>2278</v>
      </c>
      <c r="AV60" s="62">
        <v>2480</v>
      </c>
      <c r="AW60" s="62">
        <v>2455</v>
      </c>
      <c r="AX60" s="62">
        <v>2414</v>
      </c>
      <c r="AY60" s="62">
        <v>2482</v>
      </c>
      <c r="AZ60" s="62">
        <v>2519</v>
      </c>
      <c r="BA60" s="62">
        <v>2625</v>
      </c>
      <c r="BB60" s="62">
        <v>2530</v>
      </c>
      <c r="BC60" s="62">
        <v>2514</v>
      </c>
      <c r="BD60" s="62">
        <v>2651</v>
      </c>
      <c r="BE60" s="62">
        <v>2709</v>
      </c>
    </row>
    <row r="61" spans="1:57" x14ac:dyDescent="0.25">
      <c r="A61" s="20" t="s">
        <v>1484</v>
      </c>
      <c r="B61" s="62">
        <v>2218</v>
      </c>
      <c r="C61" s="62">
        <v>2221</v>
      </c>
      <c r="D61" s="62">
        <v>2152</v>
      </c>
      <c r="E61" s="62">
        <v>2105</v>
      </c>
      <c r="F61" s="62">
        <v>2067</v>
      </c>
      <c r="G61" s="62">
        <v>2035</v>
      </c>
      <c r="H61" s="62">
        <v>2021</v>
      </c>
      <c r="I61" s="62">
        <v>2017</v>
      </c>
      <c r="J61" s="62">
        <v>1959</v>
      </c>
      <c r="K61" s="62">
        <v>1893</v>
      </c>
      <c r="L61" s="62">
        <v>1892</v>
      </c>
      <c r="M61" s="62">
        <v>1885</v>
      </c>
      <c r="N61" s="62">
        <v>1861</v>
      </c>
      <c r="O61" s="62">
        <v>1852</v>
      </c>
      <c r="P61" s="62">
        <v>1841</v>
      </c>
      <c r="Q61" s="62">
        <v>1840</v>
      </c>
      <c r="R61" s="62">
        <v>1852</v>
      </c>
      <c r="S61" s="62">
        <v>1849</v>
      </c>
      <c r="T61" s="62">
        <v>1882</v>
      </c>
      <c r="U61" s="62">
        <v>1848</v>
      </c>
      <c r="V61" s="62">
        <v>1878</v>
      </c>
      <c r="W61" s="62">
        <v>1922</v>
      </c>
      <c r="X61" s="62">
        <v>1858</v>
      </c>
      <c r="Y61" s="62">
        <v>1778</v>
      </c>
      <c r="Z61" s="62">
        <v>1721</v>
      </c>
      <c r="AA61" s="62">
        <v>1595</v>
      </c>
      <c r="AC61" s="20"/>
      <c r="AD61" t="s">
        <v>1460</v>
      </c>
      <c r="AE61" s="62">
        <v>3860</v>
      </c>
      <c r="AF61" s="62">
        <v>3727</v>
      </c>
      <c r="AG61" s="62">
        <v>3626</v>
      </c>
      <c r="AH61" s="62">
        <v>3091</v>
      </c>
      <c r="AI61" s="62">
        <v>3104</v>
      </c>
      <c r="AJ61" s="62">
        <v>3056</v>
      </c>
      <c r="AK61" s="62">
        <v>3038</v>
      </c>
      <c r="AL61" s="62">
        <v>3017</v>
      </c>
      <c r="AM61" s="62">
        <v>3029</v>
      </c>
      <c r="AN61" s="62">
        <v>2848</v>
      </c>
      <c r="AO61" s="62">
        <v>2730</v>
      </c>
      <c r="AP61" s="62">
        <v>2720</v>
      </c>
      <c r="AQ61" s="62">
        <v>2552</v>
      </c>
      <c r="AR61" s="62">
        <v>2559</v>
      </c>
      <c r="AS61" s="62">
        <v>2611</v>
      </c>
      <c r="AT61" s="62">
        <v>2565</v>
      </c>
      <c r="AU61" s="62">
        <v>2622</v>
      </c>
      <c r="AV61" s="62">
        <v>2591</v>
      </c>
      <c r="AW61" s="62">
        <v>3026</v>
      </c>
      <c r="AX61" s="62">
        <v>3194</v>
      </c>
      <c r="AY61" s="62">
        <v>3293</v>
      </c>
      <c r="AZ61" s="62">
        <v>2849</v>
      </c>
      <c r="BA61" s="62">
        <v>2658</v>
      </c>
      <c r="BB61" s="62">
        <v>2584</v>
      </c>
      <c r="BC61" s="62">
        <v>2583</v>
      </c>
      <c r="BD61" s="62">
        <v>2449</v>
      </c>
      <c r="BE61" s="62">
        <v>2153</v>
      </c>
    </row>
    <row r="62" spans="1:57" x14ac:dyDescent="0.25">
      <c r="A62" s="20" t="s">
        <v>1503</v>
      </c>
      <c r="B62">
        <v>627</v>
      </c>
      <c r="C62">
        <v>637</v>
      </c>
      <c r="D62">
        <v>649</v>
      </c>
      <c r="E62">
        <v>648</v>
      </c>
      <c r="F62">
        <v>655</v>
      </c>
      <c r="G62">
        <v>657</v>
      </c>
      <c r="H62">
        <v>656</v>
      </c>
      <c r="I62">
        <v>661</v>
      </c>
      <c r="J62">
        <v>662</v>
      </c>
      <c r="K62">
        <v>665</v>
      </c>
      <c r="L62">
        <v>663</v>
      </c>
      <c r="M62">
        <v>651</v>
      </c>
      <c r="N62">
        <v>651</v>
      </c>
      <c r="O62">
        <v>643</v>
      </c>
      <c r="P62">
        <v>637</v>
      </c>
      <c r="Q62">
        <v>639</v>
      </c>
      <c r="R62">
        <v>639</v>
      </c>
      <c r="S62">
        <v>639</v>
      </c>
      <c r="T62">
        <v>639</v>
      </c>
      <c r="U62">
        <v>626</v>
      </c>
      <c r="V62">
        <v>622</v>
      </c>
      <c r="W62">
        <v>613</v>
      </c>
      <c r="X62">
        <v>604</v>
      </c>
      <c r="Y62">
        <v>597</v>
      </c>
      <c r="Z62">
        <v>592</v>
      </c>
      <c r="AA62">
        <v>591</v>
      </c>
      <c r="AC62" s="20"/>
      <c r="AD62" t="s">
        <v>1426</v>
      </c>
      <c r="AE62" s="62">
        <v>1592</v>
      </c>
      <c r="AF62" s="62">
        <v>1589</v>
      </c>
      <c r="AG62" s="62">
        <v>1537</v>
      </c>
      <c r="AH62" s="62">
        <v>1495</v>
      </c>
      <c r="AI62" s="62">
        <v>1470</v>
      </c>
      <c r="AJ62" s="62">
        <v>1450</v>
      </c>
      <c r="AK62" s="62">
        <v>1436</v>
      </c>
      <c r="AL62" s="62">
        <v>1429</v>
      </c>
      <c r="AM62" s="62">
        <v>1398</v>
      </c>
      <c r="AN62" s="62">
        <v>1356</v>
      </c>
      <c r="AO62" s="62">
        <v>1349</v>
      </c>
      <c r="AP62" s="62">
        <v>1343</v>
      </c>
      <c r="AQ62" s="62">
        <v>1322</v>
      </c>
      <c r="AR62" s="62">
        <v>1311</v>
      </c>
      <c r="AS62" s="62">
        <v>1294</v>
      </c>
      <c r="AT62" s="62">
        <v>1284</v>
      </c>
      <c r="AU62" s="62">
        <v>1284</v>
      </c>
      <c r="AV62" s="62">
        <v>1280</v>
      </c>
      <c r="AW62" s="62">
        <v>1283</v>
      </c>
      <c r="AX62" s="62">
        <v>1251</v>
      </c>
      <c r="AY62" s="62">
        <v>1270</v>
      </c>
      <c r="AZ62" s="62">
        <v>1297</v>
      </c>
      <c r="BA62" s="62">
        <v>1307</v>
      </c>
      <c r="BB62" s="62">
        <v>1463</v>
      </c>
      <c r="BC62" s="62">
        <v>1543</v>
      </c>
      <c r="BD62" s="62">
        <v>1523</v>
      </c>
      <c r="BE62" s="62">
        <v>1544</v>
      </c>
    </row>
    <row r="63" spans="1:57" x14ac:dyDescent="0.25">
      <c r="A63" s="20" t="s">
        <v>1504</v>
      </c>
      <c r="B63">
        <v>641</v>
      </c>
      <c r="C63">
        <v>673</v>
      </c>
      <c r="D63">
        <v>675</v>
      </c>
      <c r="E63">
        <v>678</v>
      </c>
      <c r="F63">
        <v>594</v>
      </c>
      <c r="G63">
        <v>631</v>
      </c>
      <c r="H63">
        <v>639</v>
      </c>
      <c r="I63">
        <v>632</v>
      </c>
      <c r="J63">
        <v>644</v>
      </c>
      <c r="K63">
        <v>723</v>
      </c>
      <c r="L63">
        <v>731</v>
      </c>
      <c r="M63">
        <v>622</v>
      </c>
      <c r="N63">
        <v>659</v>
      </c>
      <c r="O63">
        <v>572</v>
      </c>
      <c r="P63">
        <v>565</v>
      </c>
      <c r="Q63">
        <v>667</v>
      </c>
      <c r="R63">
        <v>515</v>
      </c>
      <c r="S63">
        <v>558</v>
      </c>
      <c r="T63">
        <v>460</v>
      </c>
      <c r="U63">
        <v>578</v>
      </c>
      <c r="V63">
        <v>635</v>
      </c>
      <c r="W63">
        <v>564</v>
      </c>
      <c r="X63">
        <v>453</v>
      </c>
      <c r="Y63">
        <v>454</v>
      </c>
      <c r="Z63">
        <v>456</v>
      </c>
      <c r="AA63">
        <v>449</v>
      </c>
      <c r="AC63" s="20"/>
      <c r="AD63" t="s">
        <v>1663</v>
      </c>
      <c r="AE63">
        <v>627</v>
      </c>
      <c r="AF63">
        <v>637</v>
      </c>
      <c r="AG63">
        <v>649</v>
      </c>
      <c r="AH63">
        <v>648</v>
      </c>
      <c r="AI63">
        <v>655</v>
      </c>
      <c r="AJ63">
        <v>647</v>
      </c>
      <c r="AK63">
        <v>646</v>
      </c>
      <c r="AL63">
        <v>651</v>
      </c>
      <c r="AM63">
        <v>651</v>
      </c>
      <c r="AN63">
        <v>655</v>
      </c>
      <c r="AO63">
        <v>653</v>
      </c>
      <c r="AP63">
        <v>641</v>
      </c>
      <c r="AQ63">
        <v>641</v>
      </c>
      <c r="AR63">
        <v>634</v>
      </c>
      <c r="AS63">
        <v>629</v>
      </c>
      <c r="AT63">
        <v>631</v>
      </c>
      <c r="AU63">
        <v>632</v>
      </c>
      <c r="AV63">
        <v>634</v>
      </c>
      <c r="AW63">
        <v>636</v>
      </c>
      <c r="AX63">
        <v>623</v>
      </c>
      <c r="AY63">
        <v>619</v>
      </c>
      <c r="AZ63">
        <v>612</v>
      </c>
      <c r="BA63">
        <v>604</v>
      </c>
      <c r="BB63">
        <v>596</v>
      </c>
      <c r="BC63">
        <v>598</v>
      </c>
      <c r="BD63">
        <v>605</v>
      </c>
      <c r="BE63">
        <v>593</v>
      </c>
    </row>
    <row r="64" spans="1:57" x14ac:dyDescent="0.25">
      <c r="A64" s="20" t="s">
        <v>1505</v>
      </c>
      <c r="B64">
        <v>339</v>
      </c>
      <c r="C64">
        <v>346</v>
      </c>
      <c r="D64">
        <v>358</v>
      </c>
      <c r="E64">
        <v>336</v>
      </c>
      <c r="F64">
        <v>328</v>
      </c>
      <c r="G64">
        <v>327</v>
      </c>
      <c r="H64">
        <v>340</v>
      </c>
      <c r="I64">
        <v>307</v>
      </c>
      <c r="J64">
        <v>280</v>
      </c>
      <c r="K64">
        <v>286</v>
      </c>
      <c r="L64">
        <v>300</v>
      </c>
      <c r="M64">
        <v>279</v>
      </c>
      <c r="N64">
        <v>279</v>
      </c>
      <c r="O64">
        <v>288</v>
      </c>
      <c r="P64">
        <v>294</v>
      </c>
      <c r="Q64">
        <v>296</v>
      </c>
      <c r="R64">
        <v>275</v>
      </c>
      <c r="S64">
        <v>289</v>
      </c>
      <c r="T64">
        <v>298</v>
      </c>
      <c r="U64">
        <v>296</v>
      </c>
      <c r="V64">
        <v>283</v>
      </c>
      <c r="W64">
        <v>283</v>
      </c>
      <c r="X64">
        <v>265</v>
      </c>
      <c r="Y64">
        <v>320</v>
      </c>
      <c r="Z64">
        <v>323</v>
      </c>
      <c r="AA64">
        <v>280</v>
      </c>
      <c r="AC64" s="20"/>
      <c r="AD64" t="s">
        <v>1657</v>
      </c>
      <c r="AE64">
        <v>641</v>
      </c>
      <c r="AF64">
        <v>673</v>
      </c>
      <c r="AG64">
        <v>675</v>
      </c>
      <c r="AH64">
        <v>678</v>
      </c>
      <c r="AI64">
        <v>594</v>
      </c>
      <c r="AJ64">
        <v>631</v>
      </c>
      <c r="AK64">
        <v>639</v>
      </c>
      <c r="AL64">
        <v>632</v>
      </c>
      <c r="AM64">
        <v>644</v>
      </c>
      <c r="AN64">
        <v>723</v>
      </c>
      <c r="AO64">
        <v>731</v>
      </c>
      <c r="AP64">
        <v>622</v>
      </c>
      <c r="AQ64">
        <v>659</v>
      </c>
      <c r="AR64">
        <v>572</v>
      </c>
      <c r="AS64">
        <v>565</v>
      </c>
      <c r="AT64">
        <v>667</v>
      </c>
      <c r="AU64">
        <v>515</v>
      </c>
      <c r="AV64">
        <v>558</v>
      </c>
      <c r="AW64">
        <v>460</v>
      </c>
      <c r="AX64">
        <v>578</v>
      </c>
      <c r="AY64">
        <v>635</v>
      </c>
      <c r="AZ64">
        <v>564</v>
      </c>
      <c r="BA64">
        <v>453</v>
      </c>
      <c r="BB64">
        <v>462</v>
      </c>
      <c r="BC64">
        <v>510</v>
      </c>
      <c r="BD64">
        <v>493</v>
      </c>
      <c r="BE64">
        <v>549</v>
      </c>
    </row>
    <row r="65" spans="1:57" x14ac:dyDescent="0.25">
      <c r="A65" s="20" t="s">
        <v>1506</v>
      </c>
      <c r="B65">
        <v>288</v>
      </c>
      <c r="C65">
        <v>294</v>
      </c>
      <c r="D65">
        <v>317</v>
      </c>
      <c r="E65">
        <v>328</v>
      </c>
      <c r="F65">
        <v>387</v>
      </c>
      <c r="G65">
        <v>392</v>
      </c>
      <c r="H65">
        <v>403</v>
      </c>
      <c r="I65">
        <v>360</v>
      </c>
      <c r="J65">
        <v>329</v>
      </c>
      <c r="K65">
        <v>332</v>
      </c>
      <c r="L65">
        <v>350</v>
      </c>
      <c r="M65">
        <v>319</v>
      </c>
      <c r="N65">
        <v>293</v>
      </c>
      <c r="O65">
        <v>286</v>
      </c>
      <c r="P65">
        <v>276</v>
      </c>
      <c r="Q65">
        <v>264</v>
      </c>
      <c r="R65">
        <v>261</v>
      </c>
      <c r="S65">
        <v>254</v>
      </c>
      <c r="T65">
        <v>253</v>
      </c>
      <c r="U65">
        <v>254</v>
      </c>
      <c r="V65">
        <v>263</v>
      </c>
      <c r="W65">
        <v>257</v>
      </c>
      <c r="X65">
        <v>249</v>
      </c>
      <c r="Y65">
        <v>249</v>
      </c>
      <c r="Z65">
        <v>253</v>
      </c>
      <c r="AA65">
        <v>256</v>
      </c>
      <c r="AC65" s="20"/>
      <c r="AD65" t="s">
        <v>1928</v>
      </c>
      <c r="AE65">
        <v>345</v>
      </c>
      <c r="AF65">
        <v>352</v>
      </c>
      <c r="AG65">
        <v>363</v>
      </c>
      <c r="AH65">
        <v>341</v>
      </c>
      <c r="AI65">
        <v>332</v>
      </c>
      <c r="AJ65">
        <v>333</v>
      </c>
      <c r="AK65">
        <v>345</v>
      </c>
      <c r="AL65">
        <v>313</v>
      </c>
      <c r="AM65">
        <v>286</v>
      </c>
      <c r="AN65">
        <v>292</v>
      </c>
      <c r="AO65">
        <v>308</v>
      </c>
      <c r="AP65">
        <v>289</v>
      </c>
      <c r="AQ65">
        <v>292</v>
      </c>
      <c r="AR65">
        <v>302</v>
      </c>
      <c r="AS65">
        <v>310</v>
      </c>
      <c r="AT65">
        <v>313</v>
      </c>
      <c r="AU65">
        <v>294</v>
      </c>
      <c r="AV65">
        <v>310</v>
      </c>
      <c r="AW65">
        <v>319</v>
      </c>
      <c r="AX65">
        <v>317</v>
      </c>
      <c r="AY65">
        <v>310</v>
      </c>
      <c r="AZ65">
        <v>310</v>
      </c>
      <c r="BA65">
        <v>295</v>
      </c>
      <c r="BB65">
        <v>351</v>
      </c>
      <c r="BC65">
        <v>356</v>
      </c>
      <c r="BD65">
        <v>317</v>
      </c>
      <c r="BE65">
        <v>293</v>
      </c>
    </row>
    <row r="66" spans="1:57" x14ac:dyDescent="0.25">
      <c r="A66" s="20" t="s">
        <v>1507</v>
      </c>
      <c r="B66">
        <v>15</v>
      </c>
      <c r="C66">
        <v>17</v>
      </c>
      <c r="D66">
        <v>20</v>
      </c>
      <c r="E66">
        <v>25</v>
      </c>
      <c r="F66">
        <v>31</v>
      </c>
      <c r="G66">
        <v>35</v>
      </c>
      <c r="H66">
        <v>40</v>
      </c>
      <c r="I66">
        <v>44</v>
      </c>
      <c r="J66">
        <v>48</v>
      </c>
      <c r="K66">
        <v>53</v>
      </c>
      <c r="L66">
        <v>60</v>
      </c>
      <c r="M66">
        <v>60</v>
      </c>
      <c r="N66">
        <v>61</v>
      </c>
      <c r="O66">
        <v>69</v>
      </c>
      <c r="P66">
        <v>74</v>
      </c>
      <c r="Q66">
        <v>75</v>
      </c>
      <c r="R66">
        <v>75</v>
      </c>
      <c r="S66">
        <v>79</v>
      </c>
      <c r="T66">
        <v>80</v>
      </c>
      <c r="U66">
        <v>75</v>
      </c>
      <c r="V66">
        <v>73</v>
      </c>
      <c r="W66">
        <v>75</v>
      </c>
      <c r="X66">
        <v>77</v>
      </c>
      <c r="Y66">
        <v>81</v>
      </c>
      <c r="Z66">
        <v>84</v>
      </c>
      <c r="AA66">
        <v>84</v>
      </c>
      <c r="AC66" s="20"/>
      <c r="AD66" t="s">
        <v>1924</v>
      </c>
      <c r="AE66">
        <v>260</v>
      </c>
      <c r="AF66">
        <v>262</v>
      </c>
      <c r="AG66">
        <v>263</v>
      </c>
      <c r="AH66">
        <v>265</v>
      </c>
      <c r="AI66">
        <v>266</v>
      </c>
      <c r="AJ66">
        <v>267</v>
      </c>
      <c r="AK66">
        <v>268</v>
      </c>
      <c r="AL66">
        <v>269</v>
      </c>
      <c r="AM66">
        <v>270</v>
      </c>
      <c r="AN66">
        <v>272</v>
      </c>
      <c r="AO66">
        <v>274</v>
      </c>
      <c r="AP66">
        <v>274</v>
      </c>
      <c r="AQ66">
        <v>274</v>
      </c>
      <c r="AR66">
        <v>275</v>
      </c>
      <c r="AS66">
        <v>275</v>
      </c>
      <c r="AT66">
        <v>275</v>
      </c>
      <c r="AU66">
        <v>275</v>
      </c>
      <c r="AV66">
        <v>276</v>
      </c>
      <c r="AW66">
        <v>276</v>
      </c>
      <c r="AX66">
        <v>277</v>
      </c>
      <c r="AY66">
        <v>277</v>
      </c>
      <c r="AZ66">
        <v>278</v>
      </c>
      <c r="BA66">
        <v>279</v>
      </c>
      <c r="BB66">
        <v>280</v>
      </c>
      <c r="BC66">
        <v>282</v>
      </c>
      <c r="BD66">
        <v>286</v>
      </c>
      <c r="BE66">
        <v>284</v>
      </c>
    </row>
    <row r="67" spans="1:57" x14ac:dyDescent="0.25">
      <c r="A67" s="30" t="s">
        <v>1508</v>
      </c>
      <c r="B67">
        <v>226</v>
      </c>
      <c r="C67">
        <v>220</v>
      </c>
      <c r="D67">
        <v>219</v>
      </c>
      <c r="E67">
        <v>216</v>
      </c>
      <c r="F67">
        <v>212</v>
      </c>
      <c r="G67">
        <v>206</v>
      </c>
      <c r="H67">
        <v>198</v>
      </c>
      <c r="I67">
        <v>191</v>
      </c>
      <c r="J67">
        <v>183</v>
      </c>
      <c r="K67">
        <v>159</v>
      </c>
      <c r="L67">
        <v>149</v>
      </c>
      <c r="M67">
        <v>139</v>
      </c>
      <c r="N67">
        <v>130</v>
      </c>
      <c r="O67">
        <v>122</v>
      </c>
      <c r="P67">
        <v>118</v>
      </c>
      <c r="Q67">
        <v>113</v>
      </c>
      <c r="R67">
        <v>109</v>
      </c>
      <c r="S67">
        <v>102</v>
      </c>
      <c r="T67">
        <v>96</v>
      </c>
      <c r="U67">
        <v>94</v>
      </c>
      <c r="V67">
        <v>93</v>
      </c>
      <c r="W67">
        <v>91</v>
      </c>
      <c r="X67">
        <v>87</v>
      </c>
      <c r="Y67">
        <v>85</v>
      </c>
      <c r="Z67">
        <v>82</v>
      </c>
      <c r="AA67">
        <v>80</v>
      </c>
      <c r="AC67" s="30"/>
      <c r="AD67" t="s">
        <v>1439</v>
      </c>
      <c r="AE67">
        <v>288</v>
      </c>
      <c r="AF67">
        <v>294</v>
      </c>
      <c r="AG67">
        <v>317</v>
      </c>
      <c r="AH67">
        <v>328</v>
      </c>
      <c r="AI67">
        <v>387</v>
      </c>
      <c r="AJ67">
        <v>392</v>
      </c>
      <c r="AK67">
        <v>403</v>
      </c>
      <c r="AL67">
        <v>360</v>
      </c>
      <c r="AM67">
        <v>329</v>
      </c>
      <c r="AN67">
        <v>332</v>
      </c>
      <c r="AO67">
        <v>350</v>
      </c>
      <c r="AP67">
        <v>319</v>
      </c>
      <c r="AQ67">
        <v>293</v>
      </c>
      <c r="AR67">
        <v>286</v>
      </c>
      <c r="AS67">
        <v>276</v>
      </c>
      <c r="AT67">
        <v>264</v>
      </c>
      <c r="AU67">
        <v>261</v>
      </c>
      <c r="AV67">
        <v>254</v>
      </c>
      <c r="AW67">
        <v>253</v>
      </c>
      <c r="AX67">
        <v>254</v>
      </c>
      <c r="AY67">
        <v>263</v>
      </c>
      <c r="AZ67">
        <v>257</v>
      </c>
      <c r="BA67">
        <v>249</v>
      </c>
      <c r="BB67">
        <v>249</v>
      </c>
      <c r="BC67">
        <v>253</v>
      </c>
      <c r="BD67">
        <v>256</v>
      </c>
      <c r="BE67">
        <v>268</v>
      </c>
    </row>
    <row r="68" spans="1:57" x14ac:dyDescent="0.25">
      <c r="A68" s="20" t="s">
        <v>1509</v>
      </c>
      <c r="B68">
        <v>9</v>
      </c>
      <c r="C68">
        <v>8</v>
      </c>
      <c r="D68">
        <v>9</v>
      </c>
      <c r="E68">
        <v>9</v>
      </c>
      <c r="F68">
        <v>9</v>
      </c>
      <c r="G68">
        <v>9</v>
      </c>
      <c r="H68">
        <v>9</v>
      </c>
      <c r="I68">
        <v>9</v>
      </c>
      <c r="J68">
        <v>9</v>
      </c>
      <c r="K68">
        <v>10</v>
      </c>
      <c r="L68">
        <v>11</v>
      </c>
      <c r="M68">
        <v>10</v>
      </c>
      <c r="N68">
        <v>10</v>
      </c>
      <c r="O68">
        <v>11</v>
      </c>
      <c r="P68">
        <v>10</v>
      </c>
      <c r="Q68">
        <v>8</v>
      </c>
      <c r="R68">
        <v>11</v>
      </c>
      <c r="S68">
        <v>11</v>
      </c>
      <c r="T68">
        <v>12</v>
      </c>
      <c r="U68">
        <v>11</v>
      </c>
      <c r="V68">
        <v>11</v>
      </c>
      <c r="W68">
        <v>11</v>
      </c>
      <c r="X68">
        <v>11</v>
      </c>
      <c r="Y68">
        <v>11</v>
      </c>
      <c r="Z68">
        <v>11</v>
      </c>
      <c r="AA68">
        <v>11</v>
      </c>
      <c r="AC68" s="20"/>
      <c r="AD68" t="s">
        <v>1929</v>
      </c>
      <c r="AE68">
        <v>508</v>
      </c>
      <c r="AF68">
        <v>501</v>
      </c>
      <c r="AG68">
        <v>501</v>
      </c>
      <c r="AH68">
        <v>492</v>
      </c>
      <c r="AI68">
        <v>491</v>
      </c>
      <c r="AJ68">
        <v>488</v>
      </c>
      <c r="AK68">
        <v>481</v>
      </c>
      <c r="AL68">
        <v>476</v>
      </c>
      <c r="AM68">
        <v>466</v>
      </c>
      <c r="AN68">
        <v>435</v>
      </c>
      <c r="AO68">
        <v>426</v>
      </c>
      <c r="AP68">
        <v>439</v>
      </c>
      <c r="AQ68">
        <v>431</v>
      </c>
      <c r="AR68">
        <v>425</v>
      </c>
      <c r="AS68">
        <v>398</v>
      </c>
      <c r="AT68">
        <v>374</v>
      </c>
      <c r="AU68">
        <v>359</v>
      </c>
      <c r="AV68">
        <v>322</v>
      </c>
      <c r="AW68">
        <v>283</v>
      </c>
      <c r="AX68">
        <v>261</v>
      </c>
      <c r="AY68">
        <v>247</v>
      </c>
      <c r="AZ68">
        <v>229</v>
      </c>
      <c r="BA68">
        <v>204</v>
      </c>
      <c r="BB68">
        <v>188</v>
      </c>
      <c r="BC68">
        <v>170</v>
      </c>
      <c r="BD68">
        <v>152</v>
      </c>
      <c r="BE68">
        <v>146</v>
      </c>
    </row>
    <row r="69" spans="1:57" x14ac:dyDescent="0.25">
      <c r="A69" s="20" t="s">
        <v>1476</v>
      </c>
      <c r="B69">
        <v>9</v>
      </c>
      <c r="C69">
        <v>9</v>
      </c>
      <c r="D69">
        <v>9</v>
      </c>
      <c r="E69">
        <v>11</v>
      </c>
      <c r="F69">
        <v>12</v>
      </c>
      <c r="G69">
        <v>12</v>
      </c>
      <c r="H69">
        <v>13</v>
      </c>
      <c r="I69">
        <v>14</v>
      </c>
      <c r="J69">
        <v>14</v>
      </c>
      <c r="K69">
        <v>13</v>
      </c>
      <c r="L69">
        <v>12</v>
      </c>
      <c r="M69">
        <v>8</v>
      </c>
      <c r="N69">
        <v>8</v>
      </c>
      <c r="O69">
        <v>8</v>
      </c>
      <c r="P69">
        <v>7</v>
      </c>
      <c r="Q69">
        <v>3</v>
      </c>
      <c r="R69">
        <v>2</v>
      </c>
      <c r="S69">
        <v>2</v>
      </c>
      <c r="T69">
        <v>2</v>
      </c>
      <c r="U69">
        <v>2</v>
      </c>
      <c r="V69">
        <v>2</v>
      </c>
      <c r="W69">
        <v>2</v>
      </c>
      <c r="X69">
        <v>3</v>
      </c>
      <c r="Y69">
        <v>3</v>
      </c>
      <c r="Z69">
        <v>5</v>
      </c>
      <c r="AA69">
        <v>7</v>
      </c>
      <c r="AC69" s="20"/>
      <c r="AD69" t="s">
        <v>1456</v>
      </c>
      <c r="AE69">
        <v>15</v>
      </c>
      <c r="AF69">
        <v>17</v>
      </c>
      <c r="AG69">
        <v>20</v>
      </c>
      <c r="AH69">
        <v>25</v>
      </c>
      <c r="AI69">
        <v>31</v>
      </c>
      <c r="AJ69">
        <v>35</v>
      </c>
      <c r="AK69">
        <v>40</v>
      </c>
      <c r="AL69">
        <v>44</v>
      </c>
      <c r="AM69">
        <v>48</v>
      </c>
      <c r="AN69">
        <v>53</v>
      </c>
      <c r="AO69">
        <v>60</v>
      </c>
      <c r="AP69">
        <v>60</v>
      </c>
      <c r="AQ69">
        <v>61</v>
      </c>
      <c r="AR69">
        <v>69</v>
      </c>
      <c r="AS69">
        <v>74</v>
      </c>
      <c r="AT69">
        <v>75</v>
      </c>
      <c r="AU69">
        <v>75</v>
      </c>
      <c r="AV69">
        <v>79</v>
      </c>
      <c r="AW69">
        <v>80</v>
      </c>
      <c r="AX69">
        <v>75</v>
      </c>
      <c r="AY69">
        <v>73</v>
      </c>
      <c r="AZ69">
        <v>75</v>
      </c>
      <c r="BA69">
        <v>77</v>
      </c>
      <c r="BB69">
        <v>81</v>
      </c>
      <c r="BC69">
        <v>84</v>
      </c>
      <c r="BD69">
        <v>84</v>
      </c>
      <c r="BE69">
        <v>85</v>
      </c>
    </row>
    <row r="70" spans="1:57" x14ac:dyDescent="0.25">
      <c r="A70" s="20" t="s">
        <v>1487</v>
      </c>
      <c r="B70">
        <v>1</v>
      </c>
      <c r="C70">
        <v>1</v>
      </c>
      <c r="D70">
        <v>1</v>
      </c>
      <c r="E70">
        <v>1</v>
      </c>
      <c r="F70">
        <v>1</v>
      </c>
      <c r="G70">
        <v>1</v>
      </c>
      <c r="H70">
        <v>1</v>
      </c>
      <c r="I70">
        <v>1</v>
      </c>
      <c r="J70">
        <v>1</v>
      </c>
      <c r="K70">
        <v>1</v>
      </c>
      <c r="L70">
        <v>1</v>
      </c>
      <c r="M70" t="s">
        <v>1537</v>
      </c>
      <c r="N70" t="s">
        <v>1537</v>
      </c>
      <c r="O70" t="s">
        <v>1537</v>
      </c>
      <c r="P70" t="s">
        <v>1537</v>
      </c>
      <c r="Q70" t="s">
        <v>1537</v>
      </c>
      <c r="R70" t="s">
        <v>1537</v>
      </c>
      <c r="S70" t="s">
        <v>1537</v>
      </c>
      <c r="T70" t="s">
        <v>1537</v>
      </c>
      <c r="U70" t="s">
        <v>1537</v>
      </c>
      <c r="V70" t="s">
        <v>1537</v>
      </c>
      <c r="W70" t="s">
        <v>1537</v>
      </c>
      <c r="X70">
        <v>1</v>
      </c>
      <c r="Y70" t="s">
        <v>1537</v>
      </c>
      <c r="Z70">
        <v>1</v>
      </c>
      <c r="AA70">
        <v>1</v>
      </c>
      <c r="AC70" s="20"/>
      <c r="AD70" t="s">
        <v>1454</v>
      </c>
      <c r="AE70">
        <v>9</v>
      </c>
      <c r="AF70">
        <v>8</v>
      </c>
      <c r="AG70">
        <v>9</v>
      </c>
      <c r="AH70">
        <v>9</v>
      </c>
      <c r="AI70">
        <v>9</v>
      </c>
      <c r="AJ70">
        <v>9</v>
      </c>
      <c r="AK70">
        <v>9</v>
      </c>
      <c r="AL70">
        <v>9</v>
      </c>
      <c r="AM70">
        <v>9</v>
      </c>
      <c r="AN70">
        <v>10</v>
      </c>
      <c r="AO70">
        <v>11</v>
      </c>
      <c r="AP70">
        <v>10</v>
      </c>
      <c r="AQ70">
        <v>10</v>
      </c>
      <c r="AR70">
        <v>11</v>
      </c>
      <c r="AS70">
        <v>10</v>
      </c>
      <c r="AT70">
        <v>8</v>
      </c>
      <c r="AU70">
        <v>11</v>
      </c>
      <c r="AV70">
        <v>11</v>
      </c>
      <c r="AW70">
        <v>12</v>
      </c>
      <c r="AX70">
        <v>11</v>
      </c>
      <c r="AY70">
        <v>11</v>
      </c>
      <c r="AZ70">
        <v>11</v>
      </c>
      <c r="BA70">
        <v>11</v>
      </c>
      <c r="BB70">
        <v>11</v>
      </c>
      <c r="BC70">
        <v>11</v>
      </c>
      <c r="BD70">
        <v>11</v>
      </c>
      <c r="BE70">
        <v>11</v>
      </c>
    </row>
    <row r="71" spans="1:57" ht="24" x14ac:dyDescent="0.25">
      <c r="A71" s="20" t="s">
        <v>1494</v>
      </c>
      <c r="B71">
        <v>1</v>
      </c>
      <c r="C71">
        <v>1</v>
      </c>
      <c r="D71">
        <v>1</v>
      </c>
      <c r="E71">
        <v>1</v>
      </c>
      <c r="F71">
        <v>1</v>
      </c>
      <c r="G71">
        <v>1</v>
      </c>
      <c r="H71">
        <v>1</v>
      </c>
      <c r="I71">
        <v>1</v>
      </c>
      <c r="J71">
        <v>1</v>
      </c>
      <c r="K71">
        <v>1</v>
      </c>
      <c r="L71">
        <v>1</v>
      </c>
      <c r="M71" t="s">
        <v>1537</v>
      </c>
      <c r="N71" t="s">
        <v>1537</v>
      </c>
      <c r="O71" t="s">
        <v>1537</v>
      </c>
      <c r="P71" t="s">
        <v>1537</v>
      </c>
      <c r="Q71" t="s">
        <v>1537</v>
      </c>
      <c r="R71" t="s">
        <v>1537</v>
      </c>
      <c r="S71" t="s">
        <v>1537</v>
      </c>
      <c r="T71" t="s">
        <v>1537</v>
      </c>
      <c r="U71" t="s">
        <v>1537</v>
      </c>
      <c r="V71" t="s">
        <v>1537</v>
      </c>
      <c r="W71" t="s">
        <v>1537</v>
      </c>
      <c r="X71" t="s">
        <v>1537</v>
      </c>
      <c r="Y71" t="s">
        <v>1537</v>
      </c>
      <c r="Z71" t="s">
        <v>1537</v>
      </c>
      <c r="AA71" t="s">
        <v>1537</v>
      </c>
      <c r="AC71" s="20"/>
      <c r="AD71" t="s">
        <v>1448</v>
      </c>
      <c r="AE71">
        <v>9</v>
      </c>
      <c r="AF71">
        <v>9</v>
      </c>
      <c r="AG71">
        <v>9</v>
      </c>
      <c r="AH71">
        <v>11</v>
      </c>
      <c r="AI71">
        <v>12</v>
      </c>
      <c r="AJ71">
        <v>12</v>
      </c>
      <c r="AK71">
        <v>13</v>
      </c>
      <c r="AL71">
        <v>14</v>
      </c>
      <c r="AM71">
        <v>14</v>
      </c>
      <c r="AN71">
        <v>13</v>
      </c>
      <c r="AO71">
        <v>12</v>
      </c>
      <c r="AP71">
        <v>8</v>
      </c>
      <c r="AQ71">
        <v>8</v>
      </c>
      <c r="AR71">
        <v>8</v>
      </c>
      <c r="AS71">
        <v>7</v>
      </c>
      <c r="AT71">
        <v>3</v>
      </c>
      <c r="AU71">
        <v>2</v>
      </c>
      <c r="AV71">
        <v>2</v>
      </c>
      <c r="AW71">
        <v>2</v>
      </c>
      <c r="AX71">
        <v>2</v>
      </c>
      <c r="AY71">
        <v>2</v>
      </c>
      <c r="AZ71">
        <v>2</v>
      </c>
      <c r="BA71">
        <v>3</v>
      </c>
      <c r="BB71">
        <v>3</v>
      </c>
      <c r="BC71">
        <v>5</v>
      </c>
      <c r="BD71">
        <v>7</v>
      </c>
      <c r="BE71">
        <v>10</v>
      </c>
    </row>
    <row r="72" spans="1:57" ht="24" x14ac:dyDescent="0.25">
      <c r="A72" s="20" t="s">
        <v>1473</v>
      </c>
      <c r="B72">
        <v>1</v>
      </c>
      <c r="C72">
        <v>1</v>
      </c>
      <c r="D72">
        <v>1</v>
      </c>
      <c r="E72">
        <v>1</v>
      </c>
      <c r="F72">
        <v>1</v>
      </c>
      <c r="G72">
        <v>1</v>
      </c>
      <c r="H72">
        <v>1</v>
      </c>
      <c r="I72">
        <v>1</v>
      </c>
      <c r="J72">
        <v>1</v>
      </c>
      <c r="K72">
        <v>1</v>
      </c>
      <c r="L72">
        <v>1</v>
      </c>
      <c r="M72">
        <v>1</v>
      </c>
      <c r="N72">
        <v>1</v>
      </c>
      <c r="O72">
        <v>1</v>
      </c>
      <c r="P72">
        <v>1</v>
      </c>
      <c r="Q72">
        <v>1</v>
      </c>
      <c r="R72" t="s">
        <v>1537</v>
      </c>
      <c r="S72" t="s">
        <v>1537</v>
      </c>
      <c r="T72" t="s">
        <v>1537</v>
      </c>
      <c r="U72" t="s">
        <v>1537</v>
      </c>
      <c r="V72" t="s">
        <v>1537</v>
      </c>
      <c r="W72" t="s">
        <v>1537</v>
      </c>
      <c r="X72" t="s">
        <v>1537</v>
      </c>
      <c r="Y72" t="s">
        <v>1537</v>
      </c>
      <c r="Z72" t="s">
        <v>1537</v>
      </c>
      <c r="AA72" t="s">
        <v>1537</v>
      </c>
      <c r="AC72" s="20"/>
      <c r="AD72" t="s">
        <v>1722</v>
      </c>
      <c r="AE72">
        <v>1</v>
      </c>
      <c r="AF72">
        <v>1</v>
      </c>
      <c r="AG72">
        <v>1</v>
      </c>
      <c r="AH72">
        <v>1</v>
      </c>
      <c r="AI72">
        <v>1</v>
      </c>
      <c r="AJ72">
        <v>1</v>
      </c>
      <c r="AK72">
        <v>1</v>
      </c>
      <c r="AL72">
        <v>1</v>
      </c>
      <c r="AM72">
        <v>1</v>
      </c>
      <c r="AN72">
        <v>1</v>
      </c>
      <c r="AO72">
        <v>1</v>
      </c>
      <c r="AP72" t="s">
        <v>1537</v>
      </c>
      <c r="AQ72" t="s">
        <v>1537</v>
      </c>
      <c r="AR72" t="s">
        <v>1537</v>
      </c>
      <c r="AS72" t="s">
        <v>1537</v>
      </c>
      <c r="AT72" t="s">
        <v>1537</v>
      </c>
      <c r="AU72" t="s">
        <v>1537</v>
      </c>
      <c r="AV72" t="s">
        <v>1537</v>
      </c>
      <c r="AW72" t="s">
        <v>1537</v>
      </c>
      <c r="AX72" t="s">
        <v>1537</v>
      </c>
      <c r="AY72" t="s">
        <v>1537</v>
      </c>
      <c r="AZ72" t="s">
        <v>1537</v>
      </c>
      <c r="BA72">
        <v>1</v>
      </c>
      <c r="BB72" t="s">
        <v>1537</v>
      </c>
      <c r="BC72">
        <v>1</v>
      </c>
      <c r="BD72">
        <v>1</v>
      </c>
      <c r="BE72">
        <v>1</v>
      </c>
    </row>
    <row r="73" spans="1:57" x14ac:dyDescent="0.25">
      <c r="A73" s="20" t="s">
        <v>1480</v>
      </c>
      <c r="B73" t="s">
        <v>1537</v>
      </c>
      <c r="C73" t="s">
        <v>1537</v>
      </c>
      <c r="D73" t="s">
        <v>1537</v>
      </c>
      <c r="E73" t="s">
        <v>1537</v>
      </c>
      <c r="F73" t="s">
        <v>1537</v>
      </c>
      <c r="G73" t="s">
        <v>1537</v>
      </c>
      <c r="H73" t="s">
        <v>1537</v>
      </c>
      <c r="I73" t="s">
        <v>1537</v>
      </c>
      <c r="J73" t="s">
        <v>1537</v>
      </c>
      <c r="K73" t="s">
        <v>1537</v>
      </c>
      <c r="L73" t="s">
        <v>1537</v>
      </c>
      <c r="M73" t="s">
        <v>1537</v>
      </c>
      <c r="N73" t="s">
        <v>1537</v>
      </c>
      <c r="O73" t="s">
        <v>1537</v>
      </c>
      <c r="P73" t="s">
        <v>1537</v>
      </c>
      <c r="Q73" t="s">
        <v>1537</v>
      </c>
      <c r="R73" t="s">
        <v>1537</v>
      </c>
      <c r="S73" t="s">
        <v>1537</v>
      </c>
      <c r="T73" t="s">
        <v>1537</v>
      </c>
      <c r="U73" t="s">
        <v>1537</v>
      </c>
      <c r="V73" t="s">
        <v>1537</v>
      </c>
      <c r="W73" t="s">
        <v>1537</v>
      </c>
      <c r="X73" t="s">
        <v>1537</v>
      </c>
      <c r="Y73" t="s">
        <v>1537</v>
      </c>
      <c r="Z73" t="s">
        <v>1537</v>
      </c>
      <c r="AA73" t="s">
        <v>1537</v>
      </c>
      <c r="AC73" s="20"/>
      <c r="AD73" t="s">
        <v>1923</v>
      </c>
      <c r="AE73">
        <v>1</v>
      </c>
      <c r="AF73">
        <v>1</v>
      </c>
      <c r="AG73">
        <v>1</v>
      </c>
      <c r="AH73">
        <v>1</v>
      </c>
      <c r="AI73">
        <v>1</v>
      </c>
      <c r="AJ73">
        <v>1</v>
      </c>
      <c r="AK73">
        <v>1</v>
      </c>
      <c r="AL73">
        <v>1</v>
      </c>
      <c r="AM73">
        <v>1</v>
      </c>
      <c r="AN73">
        <v>1</v>
      </c>
      <c r="AO73">
        <v>1</v>
      </c>
      <c r="AP73" t="s">
        <v>1537</v>
      </c>
      <c r="AQ73" t="s">
        <v>1537</v>
      </c>
      <c r="AR73" t="s">
        <v>1537</v>
      </c>
      <c r="AS73" t="s">
        <v>1537</v>
      </c>
      <c r="AT73" t="s">
        <v>1537</v>
      </c>
      <c r="AU73" t="s">
        <v>1537</v>
      </c>
      <c r="AV73" t="s">
        <v>1537</v>
      </c>
      <c r="AW73" t="s">
        <v>1537</v>
      </c>
      <c r="AX73" t="s">
        <v>1537</v>
      </c>
      <c r="AY73" t="s">
        <v>1537</v>
      </c>
      <c r="AZ73" t="s">
        <v>1537</v>
      </c>
      <c r="BA73" t="s">
        <v>1537</v>
      </c>
      <c r="BB73" t="s">
        <v>1537</v>
      </c>
      <c r="BC73" t="s">
        <v>1537</v>
      </c>
      <c r="BD73" t="s">
        <v>1537</v>
      </c>
      <c r="BE73" t="s">
        <v>1537</v>
      </c>
    </row>
    <row r="74" spans="1:57" x14ac:dyDescent="0.25">
      <c r="A74" s="30" t="s">
        <v>1497</v>
      </c>
      <c r="B74">
        <v>7</v>
      </c>
      <c r="C74">
        <v>7</v>
      </c>
      <c r="D74">
        <v>6</v>
      </c>
      <c r="E74">
        <v>5</v>
      </c>
      <c r="F74">
        <v>5</v>
      </c>
      <c r="G74">
        <v>5</v>
      </c>
      <c r="H74">
        <v>5</v>
      </c>
      <c r="I74">
        <v>5</v>
      </c>
      <c r="J74">
        <v>6</v>
      </c>
      <c r="K74">
        <v>5</v>
      </c>
      <c r="L74">
        <v>4</v>
      </c>
      <c r="M74">
        <v>4</v>
      </c>
      <c r="N74">
        <v>4</v>
      </c>
      <c r="O74">
        <v>4</v>
      </c>
      <c r="P74">
        <v>5</v>
      </c>
      <c r="Q74">
        <v>5</v>
      </c>
      <c r="R74">
        <v>5</v>
      </c>
      <c r="S74">
        <v>5</v>
      </c>
      <c r="T74">
        <v>6</v>
      </c>
      <c r="U74">
        <v>5</v>
      </c>
      <c r="V74">
        <v>6</v>
      </c>
      <c r="W74">
        <v>5</v>
      </c>
      <c r="X74">
        <v>4</v>
      </c>
      <c r="Y74">
        <v>3</v>
      </c>
      <c r="Z74">
        <v>3</v>
      </c>
      <c r="AA74">
        <v>3</v>
      </c>
      <c r="AC74" s="30"/>
      <c r="AD74" t="s">
        <v>1920</v>
      </c>
      <c r="AE74">
        <v>1</v>
      </c>
      <c r="AF74">
        <v>1</v>
      </c>
      <c r="AG74">
        <v>1</v>
      </c>
      <c r="AH74">
        <v>1</v>
      </c>
      <c r="AI74">
        <v>1</v>
      </c>
      <c r="AJ74">
        <v>1</v>
      </c>
      <c r="AK74">
        <v>1</v>
      </c>
      <c r="AL74">
        <v>1</v>
      </c>
      <c r="AM74">
        <v>1</v>
      </c>
      <c r="AN74">
        <v>1</v>
      </c>
      <c r="AO74">
        <v>1</v>
      </c>
      <c r="AP74">
        <v>1</v>
      </c>
      <c r="AQ74">
        <v>1</v>
      </c>
      <c r="AR74">
        <v>1</v>
      </c>
      <c r="AS74">
        <v>1</v>
      </c>
      <c r="AT74">
        <v>1</v>
      </c>
      <c r="AU74" t="s">
        <v>1537</v>
      </c>
      <c r="AV74" t="s">
        <v>1537</v>
      </c>
      <c r="AW74" t="s">
        <v>1537</v>
      </c>
      <c r="AX74" t="s">
        <v>1537</v>
      </c>
      <c r="AY74" t="s">
        <v>1537</v>
      </c>
      <c r="AZ74" t="s">
        <v>1537</v>
      </c>
      <c r="BA74" t="s">
        <v>1537</v>
      </c>
      <c r="BB74" t="s">
        <v>1537</v>
      </c>
      <c r="BC74" t="s">
        <v>1537</v>
      </c>
      <c r="BD74" t="s">
        <v>1537</v>
      </c>
      <c r="BE74" t="s">
        <v>1537</v>
      </c>
    </row>
    <row r="75" spans="1:57" x14ac:dyDescent="0.25">
      <c r="A75" s="30" t="s">
        <v>1510</v>
      </c>
      <c r="B75" s="62">
        <v>1207</v>
      </c>
      <c r="C75" s="62">
        <v>1204</v>
      </c>
      <c r="D75" s="62">
        <v>1214</v>
      </c>
      <c r="E75" s="62">
        <v>1255</v>
      </c>
      <c r="F75" s="62">
        <v>1224</v>
      </c>
      <c r="G75" s="62">
        <v>1265</v>
      </c>
      <c r="H75" s="62">
        <v>1287</v>
      </c>
      <c r="I75" s="62">
        <v>1256</v>
      </c>
      <c r="J75" s="62">
        <v>1304</v>
      </c>
      <c r="K75" s="62">
        <v>1218</v>
      </c>
      <c r="L75" s="62">
        <v>1215</v>
      </c>
      <c r="M75" s="62">
        <v>1221</v>
      </c>
      <c r="N75" s="62">
        <v>1215</v>
      </c>
      <c r="O75" s="62">
        <v>1228</v>
      </c>
      <c r="P75" s="62">
        <v>1295</v>
      </c>
      <c r="Q75" s="62">
        <v>1214</v>
      </c>
      <c r="R75" s="62">
        <v>1245</v>
      </c>
      <c r="S75" s="62">
        <v>1271</v>
      </c>
      <c r="T75" s="62">
        <v>1213</v>
      </c>
      <c r="U75" s="62">
        <v>1216</v>
      </c>
      <c r="V75" s="62">
        <v>1243</v>
      </c>
      <c r="W75" s="62">
        <v>1222</v>
      </c>
      <c r="X75" s="62">
        <v>1143</v>
      </c>
      <c r="Y75" s="62">
        <v>1126</v>
      </c>
      <c r="Z75" s="62">
        <v>1126</v>
      </c>
      <c r="AA75" s="62">
        <v>1124</v>
      </c>
      <c r="AC75" s="30"/>
      <c r="AD75" t="s">
        <v>1720</v>
      </c>
      <c r="AE75" t="s">
        <v>1537</v>
      </c>
      <c r="AF75" t="s">
        <v>1537</v>
      </c>
      <c r="AG75" t="s">
        <v>1537</v>
      </c>
      <c r="AH75" t="s">
        <v>1537</v>
      </c>
      <c r="AI75" t="s">
        <v>1537</v>
      </c>
      <c r="AJ75" t="s">
        <v>1537</v>
      </c>
      <c r="AK75" t="s">
        <v>1537</v>
      </c>
      <c r="AL75" t="s">
        <v>1537</v>
      </c>
      <c r="AM75" t="s">
        <v>1537</v>
      </c>
      <c r="AN75" t="s">
        <v>1537</v>
      </c>
      <c r="AO75" t="s">
        <v>1537</v>
      </c>
      <c r="AP75" t="s">
        <v>1537</v>
      </c>
      <c r="AQ75" t="s">
        <v>1537</v>
      </c>
      <c r="AR75" t="s">
        <v>1537</v>
      </c>
      <c r="AS75" t="s">
        <v>1537</v>
      </c>
      <c r="AT75" t="s">
        <v>1537</v>
      </c>
      <c r="AU75" t="s">
        <v>1537</v>
      </c>
      <c r="AV75" t="s">
        <v>1537</v>
      </c>
      <c r="AW75" t="s">
        <v>1537</v>
      </c>
      <c r="AX75" t="s">
        <v>1537</v>
      </c>
      <c r="AY75" t="s">
        <v>1537</v>
      </c>
      <c r="AZ75" t="s">
        <v>1537</v>
      </c>
      <c r="BA75" t="s">
        <v>1537</v>
      </c>
      <c r="BB75" t="s">
        <v>1537</v>
      </c>
      <c r="BC75" t="s">
        <v>1537</v>
      </c>
      <c r="BD75" t="s">
        <v>1537</v>
      </c>
      <c r="BE75" t="s">
        <v>1537</v>
      </c>
    </row>
    <row r="76" spans="1:57" x14ac:dyDescent="0.25">
      <c r="A76" s="20" t="s">
        <v>1511</v>
      </c>
      <c r="B76">
        <v>861</v>
      </c>
      <c r="C76">
        <v>853</v>
      </c>
      <c r="D76">
        <v>858</v>
      </c>
      <c r="E76">
        <v>885</v>
      </c>
      <c r="F76">
        <v>844</v>
      </c>
      <c r="G76">
        <v>866</v>
      </c>
      <c r="H76">
        <v>882</v>
      </c>
      <c r="I76">
        <v>870</v>
      </c>
      <c r="J76">
        <v>931</v>
      </c>
      <c r="K76">
        <v>854</v>
      </c>
      <c r="L76">
        <v>848</v>
      </c>
      <c r="M76">
        <v>876</v>
      </c>
      <c r="N76">
        <v>869</v>
      </c>
      <c r="O76">
        <v>885</v>
      </c>
      <c r="P76">
        <v>962</v>
      </c>
      <c r="Q76">
        <v>872</v>
      </c>
      <c r="R76">
        <v>904</v>
      </c>
      <c r="S76">
        <v>930</v>
      </c>
      <c r="T76">
        <v>913</v>
      </c>
      <c r="U76">
        <v>928</v>
      </c>
      <c r="V76">
        <v>941</v>
      </c>
      <c r="W76">
        <v>906</v>
      </c>
      <c r="X76">
        <v>853</v>
      </c>
      <c r="Y76">
        <v>841</v>
      </c>
      <c r="Z76">
        <v>839</v>
      </c>
      <c r="AA76">
        <v>843</v>
      </c>
      <c r="AC76" s="20"/>
      <c r="AD76" t="s">
        <v>1926</v>
      </c>
      <c r="AE76">
        <v>7</v>
      </c>
      <c r="AF76">
        <v>7</v>
      </c>
      <c r="AG76">
        <v>6</v>
      </c>
      <c r="AH76">
        <v>5</v>
      </c>
      <c r="AI76">
        <v>5</v>
      </c>
      <c r="AJ76">
        <v>5</v>
      </c>
      <c r="AK76">
        <v>5</v>
      </c>
      <c r="AL76">
        <v>5</v>
      </c>
      <c r="AM76">
        <v>6</v>
      </c>
      <c r="AN76">
        <v>5</v>
      </c>
      <c r="AO76">
        <v>4</v>
      </c>
      <c r="AP76">
        <v>4</v>
      </c>
      <c r="AQ76">
        <v>4</v>
      </c>
      <c r="AR76">
        <v>4</v>
      </c>
      <c r="AS76">
        <v>5</v>
      </c>
      <c r="AT76">
        <v>5</v>
      </c>
      <c r="AU76">
        <v>5</v>
      </c>
      <c r="AV76">
        <v>5</v>
      </c>
      <c r="AW76">
        <v>6</v>
      </c>
      <c r="AX76">
        <v>5</v>
      </c>
      <c r="AY76">
        <v>6</v>
      </c>
      <c r="AZ76">
        <v>5</v>
      </c>
      <c r="BA76">
        <v>4</v>
      </c>
      <c r="BB76">
        <v>3</v>
      </c>
      <c r="BC76">
        <v>3</v>
      </c>
      <c r="BD76">
        <v>3</v>
      </c>
      <c r="BE76">
        <v>4</v>
      </c>
    </row>
    <row r="77" spans="1:57" x14ac:dyDescent="0.25">
      <c r="A77" s="20" t="s">
        <v>1505</v>
      </c>
      <c r="B77">
        <v>40</v>
      </c>
      <c r="C77">
        <v>40</v>
      </c>
      <c r="D77">
        <v>40</v>
      </c>
      <c r="E77">
        <v>41</v>
      </c>
      <c r="F77">
        <v>42</v>
      </c>
      <c r="G77">
        <v>42</v>
      </c>
      <c r="H77">
        <v>43</v>
      </c>
      <c r="I77">
        <v>44</v>
      </c>
      <c r="J77">
        <v>44</v>
      </c>
      <c r="K77">
        <v>44</v>
      </c>
      <c r="L77">
        <v>47</v>
      </c>
      <c r="M77">
        <v>48</v>
      </c>
      <c r="N77">
        <v>54</v>
      </c>
      <c r="O77">
        <v>58</v>
      </c>
      <c r="P77">
        <v>64</v>
      </c>
      <c r="Q77">
        <v>68</v>
      </c>
      <c r="R77">
        <v>68</v>
      </c>
      <c r="S77">
        <v>70</v>
      </c>
      <c r="T77">
        <v>70</v>
      </c>
      <c r="U77">
        <v>69</v>
      </c>
      <c r="V77">
        <v>74</v>
      </c>
      <c r="W77">
        <v>71</v>
      </c>
      <c r="X77">
        <v>72</v>
      </c>
      <c r="Y77">
        <v>77</v>
      </c>
      <c r="Z77">
        <v>78</v>
      </c>
      <c r="AA77">
        <v>78</v>
      </c>
      <c r="AC77" s="20"/>
      <c r="AD77" t="s">
        <v>1930</v>
      </c>
      <c r="AE77" s="62">
        <v>1190</v>
      </c>
      <c r="AF77" s="62">
        <v>1187</v>
      </c>
      <c r="AG77" s="62">
        <v>1198</v>
      </c>
      <c r="AH77" s="62">
        <v>1239</v>
      </c>
      <c r="AI77" s="62">
        <v>1208</v>
      </c>
      <c r="AJ77" s="62">
        <v>1249</v>
      </c>
      <c r="AK77" s="62">
        <v>1272</v>
      </c>
      <c r="AL77" s="62">
        <v>1241</v>
      </c>
      <c r="AM77" s="62">
        <v>1290</v>
      </c>
      <c r="AN77" s="62">
        <v>1207</v>
      </c>
      <c r="AO77" s="62">
        <v>1203</v>
      </c>
      <c r="AP77" s="62">
        <v>1210</v>
      </c>
      <c r="AQ77" s="62">
        <v>1204</v>
      </c>
      <c r="AR77" s="62">
        <v>1217</v>
      </c>
      <c r="AS77" s="62">
        <v>1284</v>
      </c>
      <c r="AT77" s="62">
        <v>1201</v>
      </c>
      <c r="AU77" s="62">
        <v>1230</v>
      </c>
      <c r="AV77" s="62">
        <v>1258</v>
      </c>
      <c r="AW77" s="62">
        <v>1200</v>
      </c>
      <c r="AX77" s="62">
        <v>1203</v>
      </c>
      <c r="AY77" s="62">
        <v>1231</v>
      </c>
      <c r="AZ77" s="62">
        <v>1207</v>
      </c>
      <c r="BA77" s="62">
        <v>1127</v>
      </c>
      <c r="BB77" s="62">
        <v>1219</v>
      </c>
      <c r="BC77" s="62">
        <v>1212</v>
      </c>
      <c r="BD77" s="62">
        <v>1274</v>
      </c>
      <c r="BE77" s="62">
        <v>1240</v>
      </c>
    </row>
    <row r="78" spans="1:57" x14ac:dyDescent="0.25">
      <c r="A78" s="20" t="s">
        <v>1501</v>
      </c>
      <c r="B78">
        <v>47</v>
      </c>
      <c r="C78">
        <v>48</v>
      </c>
      <c r="D78">
        <v>48</v>
      </c>
      <c r="E78">
        <v>47</v>
      </c>
      <c r="F78">
        <v>50</v>
      </c>
      <c r="G78">
        <v>51</v>
      </c>
      <c r="H78">
        <v>51</v>
      </c>
      <c r="I78">
        <v>51</v>
      </c>
      <c r="J78">
        <v>52</v>
      </c>
      <c r="K78">
        <v>54</v>
      </c>
      <c r="L78">
        <v>55</v>
      </c>
      <c r="M78">
        <v>55</v>
      </c>
      <c r="N78">
        <v>56</v>
      </c>
      <c r="O78">
        <v>57</v>
      </c>
      <c r="P78">
        <v>54</v>
      </c>
      <c r="Q78">
        <v>55</v>
      </c>
      <c r="R78">
        <v>58</v>
      </c>
      <c r="S78">
        <v>58</v>
      </c>
      <c r="T78">
        <v>58</v>
      </c>
      <c r="U78">
        <v>57</v>
      </c>
      <c r="V78">
        <v>58</v>
      </c>
      <c r="W78">
        <v>58</v>
      </c>
      <c r="X78">
        <v>59</v>
      </c>
      <c r="Y78">
        <v>59</v>
      </c>
      <c r="Z78">
        <v>59</v>
      </c>
      <c r="AA78">
        <v>59</v>
      </c>
      <c r="AC78" s="20"/>
      <c r="AD78" t="s">
        <v>288</v>
      </c>
      <c r="AE78">
        <v>840</v>
      </c>
      <c r="AF78">
        <v>832</v>
      </c>
      <c r="AG78">
        <v>837</v>
      </c>
      <c r="AH78">
        <v>865</v>
      </c>
      <c r="AI78">
        <v>822</v>
      </c>
      <c r="AJ78">
        <v>843</v>
      </c>
      <c r="AK78">
        <v>859</v>
      </c>
      <c r="AL78">
        <v>847</v>
      </c>
      <c r="AM78">
        <v>909</v>
      </c>
      <c r="AN78">
        <v>833</v>
      </c>
      <c r="AO78">
        <v>828</v>
      </c>
      <c r="AP78">
        <v>856</v>
      </c>
      <c r="AQ78">
        <v>847</v>
      </c>
      <c r="AR78">
        <v>863</v>
      </c>
      <c r="AS78">
        <v>941</v>
      </c>
      <c r="AT78">
        <v>851</v>
      </c>
      <c r="AU78">
        <v>881</v>
      </c>
      <c r="AV78">
        <v>908</v>
      </c>
      <c r="AW78">
        <v>891</v>
      </c>
      <c r="AX78">
        <v>907</v>
      </c>
      <c r="AY78">
        <v>920</v>
      </c>
      <c r="AZ78">
        <v>886</v>
      </c>
      <c r="BA78">
        <v>832</v>
      </c>
      <c r="BB78">
        <v>928</v>
      </c>
      <c r="BC78">
        <v>920</v>
      </c>
      <c r="BD78">
        <v>990</v>
      </c>
      <c r="BE78">
        <v>952</v>
      </c>
    </row>
    <row r="79" spans="1:57" x14ac:dyDescent="0.25">
      <c r="A79" s="30" t="s">
        <v>1508</v>
      </c>
      <c r="B79">
        <v>138</v>
      </c>
      <c r="C79">
        <v>145</v>
      </c>
      <c r="D79">
        <v>155</v>
      </c>
      <c r="E79">
        <v>161</v>
      </c>
      <c r="F79">
        <v>167</v>
      </c>
      <c r="G79">
        <v>172</v>
      </c>
      <c r="H79">
        <v>175</v>
      </c>
      <c r="I79">
        <v>178</v>
      </c>
      <c r="J79">
        <v>178</v>
      </c>
      <c r="K79">
        <v>169</v>
      </c>
      <c r="L79">
        <v>165</v>
      </c>
      <c r="M79">
        <v>154</v>
      </c>
      <c r="N79">
        <v>146</v>
      </c>
      <c r="O79">
        <v>138</v>
      </c>
      <c r="P79">
        <v>129</v>
      </c>
      <c r="Q79">
        <v>120</v>
      </c>
      <c r="R79">
        <v>112</v>
      </c>
      <c r="S79">
        <v>97</v>
      </c>
      <c r="T79">
        <v>89</v>
      </c>
      <c r="U79">
        <v>84</v>
      </c>
      <c r="V79">
        <v>81</v>
      </c>
      <c r="W79">
        <v>77</v>
      </c>
      <c r="X79">
        <v>68</v>
      </c>
      <c r="Y79">
        <v>62</v>
      </c>
      <c r="Z79">
        <v>56</v>
      </c>
      <c r="AA79">
        <v>51</v>
      </c>
      <c r="AC79" s="30"/>
      <c r="AD79" t="s">
        <v>1928</v>
      </c>
      <c r="AE79">
        <v>37</v>
      </c>
      <c r="AF79">
        <v>37</v>
      </c>
      <c r="AG79">
        <v>37</v>
      </c>
      <c r="AH79">
        <v>38</v>
      </c>
      <c r="AI79">
        <v>39</v>
      </c>
      <c r="AJ79">
        <v>39</v>
      </c>
      <c r="AK79">
        <v>40</v>
      </c>
      <c r="AL79">
        <v>40</v>
      </c>
      <c r="AM79">
        <v>40</v>
      </c>
      <c r="AN79">
        <v>40</v>
      </c>
      <c r="AO79">
        <v>43</v>
      </c>
      <c r="AP79">
        <v>43</v>
      </c>
      <c r="AQ79">
        <v>47</v>
      </c>
      <c r="AR79">
        <v>51</v>
      </c>
      <c r="AS79">
        <v>56</v>
      </c>
      <c r="AT79">
        <v>59</v>
      </c>
      <c r="AU79">
        <v>58</v>
      </c>
      <c r="AV79">
        <v>59</v>
      </c>
      <c r="AW79">
        <v>59</v>
      </c>
      <c r="AX79">
        <v>57</v>
      </c>
      <c r="AY79">
        <v>63</v>
      </c>
      <c r="AZ79">
        <v>59</v>
      </c>
      <c r="BA79">
        <v>57</v>
      </c>
      <c r="BB79">
        <v>63</v>
      </c>
      <c r="BC79">
        <v>64</v>
      </c>
      <c r="BD79">
        <v>61</v>
      </c>
      <c r="BE79">
        <v>62</v>
      </c>
    </row>
    <row r="80" spans="1:57" x14ac:dyDescent="0.25">
      <c r="A80" s="20" t="s">
        <v>1512</v>
      </c>
      <c r="B80">
        <v>41</v>
      </c>
      <c r="C80">
        <v>41</v>
      </c>
      <c r="D80">
        <v>42</v>
      </c>
      <c r="E80">
        <v>42</v>
      </c>
      <c r="F80">
        <v>45</v>
      </c>
      <c r="G80">
        <v>45</v>
      </c>
      <c r="H80">
        <v>47</v>
      </c>
      <c r="I80">
        <v>48</v>
      </c>
      <c r="J80">
        <v>48</v>
      </c>
      <c r="K80">
        <v>46</v>
      </c>
      <c r="L80">
        <v>45</v>
      </c>
      <c r="M80">
        <v>36</v>
      </c>
      <c r="N80">
        <v>39</v>
      </c>
      <c r="O80">
        <v>37</v>
      </c>
      <c r="P80">
        <v>37</v>
      </c>
      <c r="Q80">
        <v>38</v>
      </c>
      <c r="R80">
        <v>37</v>
      </c>
      <c r="S80">
        <v>44</v>
      </c>
      <c r="T80">
        <v>38</v>
      </c>
      <c r="U80">
        <v>32</v>
      </c>
      <c r="V80">
        <v>39</v>
      </c>
      <c r="W80">
        <v>37</v>
      </c>
      <c r="X80">
        <v>35</v>
      </c>
      <c r="Y80">
        <v>36</v>
      </c>
      <c r="Z80">
        <v>37</v>
      </c>
      <c r="AA80">
        <v>39</v>
      </c>
      <c r="AC80" s="20"/>
      <c r="AD80" t="s">
        <v>1929</v>
      </c>
      <c r="AE80">
        <v>140</v>
      </c>
      <c r="AF80">
        <v>146</v>
      </c>
      <c r="AG80">
        <v>156</v>
      </c>
      <c r="AH80">
        <v>163</v>
      </c>
      <c r="AI80">
        <v>170</v>
      </c>
      <c r="AJ80">
        <v>175</v>
      </c>
      <c r="AK80">
        <v>179</v>
      </c>
      <c r="AL80">
        <v>183</v>
      </c>
      <c r="AM80">
        <v>184</v>
      </c>
      <c r="AN80">
        <v>176</v>
      </c>
      <c r="AO80">
        <v>173</v>
      </c>
      <c r="AP80">
        <v>163</v>
      </c>
      <c r="AQ80">
        <v>156</v>
      </c>
      <c r="AR80">
        <v>148</v>
      </c>
      <c r="AS80">
        <v>140</v>
      </c>
      <c r="AT80">
        <v>130</v>
      </c>
      <c r="AU80">
        <v>123</v>
      </c>
      <c r="AV80">
        <v>110</v>
      </c>
      <c r="AW80">
        <v>102</v>
      </c>
      <c r="AX80">
        <v>97</v>
      </c>
      <c r="AY80">
        <v>94</v>
      </c>
      <c r="AZ80">
        <v>89</v>
      </c>
      <c r="BA80">
        <v>81</v>
      </c>
      <c r="BB80">
        <v>75</v>
      </c>
      <c r="BC80">
        <v>69</v>
      </c>
      <c r="BD80">
        <v>65</v>
      </c>
      <c r="BE80">
        <v>62</v>
      </c>
    </row>
    <row r="81" spans="1:57" x14ac:dyDescent="0.25">
      <c r="A81" s="20" t="s">
        <v>1503</v>
      </c>
      <c r="B81">
        <v>11</v>
      </c>
      <c r="C81">
        <v>12</v>
      </c>
      <c r="D81">
        <v>12</v>
      </c>
      <c r="E81">
        <v>12</v>
      </c>
      <c r="F81">
        <v>12</v>
      </c>
      <c r="G81">
        <v>13</v>
      </c>
      <c r="H81">
        <v>13</v>
      </c>
      <c r="I81">
        <v>13</v>
      </c>
      <c r="J81">
        <v>13</v>
      </c>
      <c r="K81">
        <v>14</v>
      </c>
      <c r="L81">
        <v>14</v>
      </c>
      <c r="M81">
        <v>14</v>
      </c>
      <c r="N81">
        <v>14</v>
      </c>
      <c r="O81">
        <v>14</v>
      </c>
      <c r="P81">
        <v>15</v>
      </c>
      <c r="Q81">
        <v>15</v>
      </c>
      <c r="R81">
        <v>15</v>
      </c>
      <c r="S81">
        <v>15</v>
      </c>
      <c r="T81">
        <v>15</v>
      </c>
      <c r="U81">
        <v>15</v>
      </c>
      <c r="V81">
        <v>15</v>
      </c>
      <c r="W81">
        <v>16</v>
      </c>
      <c r="X81">
        <v>16</v>
      </c>
      <c r="Y81">
        <v>16</v>
      </c>
      <c r="Z81">
        <v>16</v>
      </c>
      <c r="AA81">
        <v>17</v>
      </c>
      <c r="AC81" s="20"/>
      <c r="AD81" t="s">
        <v>287</v>
      </c>
      <c r="AE81">
        <v>47</v>
      </c>
      <c r="AF81">
        <v>48</v>
      </c>
      <c r="AG81">
        <v>48</v>
      </c>
      <c r="AH81">
        <v>47</v>
      </c>
      <c r="AI81">
        <v>50</v>
      </c>
      <c r="AJ81">
        <v>51</v>
      </c>
      <c r="AK81">
        <v>51</v>
      </c>
      <c r="AL81">
        <v>51</v>
      </c>
      <c r="AM81">
        <v>52</v>
      </c>
      <c r="AN81">
        <v>54</v>
      </c>
      <c r="AO81">
        <v>55</v>
      </c>
      <c r="AP81">
        <v>55</v>
      </c>
      <c r="AQ81">
        <v>56</v>
      </c>
      <c r="AR81">
        <v>57</v>
      </c>
      <c r="AS81">
        <v>54</v>
      </c>
      <c r="AT81">
        <v>55</v>
      </c>
      <c r="AU81">
        <v>58</v>
      </c>
      <c r="AV81">
        <v>58</v>
      </c>
      <c r="AW81">
        <v>58</v>
      </c>
      <c r="AX81">
        <v>57</v>
      </c>
      <c r="AY81">
        <v>58</v>
      </c>
      <c r="AZ81">
        <v>58</v>
      </c>
      <c r="BA81">
        <v>59</v>
      </c>
      <c r="BB81">
        <v>59</v>
      </c>
      <c r="BC81">
        <v>59</v>
      </c>
      <c r="BD81">
        <v>59</v>
      </c>
      <c r="BE81">
        <v>61</v>
      </c>
    </row>
    <row r="82" spans="1:57" x14ac:dyDescent="0.25">
      <c r="A82" s="20" t="s">
        <v>1513</v>
      </c>
      <c r="B82">
        <v>51</v>
      </c>
      <c r="C82">
        <v>50</v>
      </c>
      <c r="D82">
        <v>44</v>
      </c>
      <c r="E82">
        <v>47</v>
      </c>
      <c r="F82">
        <v>45</v>
      </c>
      <c r="G82">
        <v>57</v>
      </c>
      <c r="H82">
        <v>56</v>
      </c>
      <c r="I82">
        <v>32</v>
      </c>
      <c r="J82">
        <v>17</v>
      </c>
      <c r="K82">
        <v>16</v>
      </c>
      <c r="L82">
        <v>18</v>
      </c>
      <c r="M82">
        <v>15</v>
      </c>
      <c r="N82">
        <v>17</v>
      </c>
      <c r="O82">
        <v>18</v>
      </c>
      <c r="P82">
        <v>12</v>
      </c>
      <c r="Q82">
        <v>24</v>
      </c>
      <c r="R82">
        <v>29</v>
      </c>
      <c r="S82">
        <v>34</v>
      </c>
      <c r="T82">
        <v>8</v>
      </c>
      <c r="U82">
        <v>9</v>
      </c>
      <c r="V82">
        <v>14</v>
      </c>
      <c r="W82">
        <v>34</v>
      </c>
      <c r="X82">
        <v>19</v>
      </c>
      <c r="Y82">
        <v>13</v>
      </c>
      <c r="Z82">
        <v>18</v>
      </c>
      <c r="AA82">
        <v>14</v>
      </c>
      <c r="AC82" s="20"/>
      <c r="AD82" t="s">
        <v>1440</v>
      </c>
      <c r="AE82">
        <v>41</v>
      </c>
      <c r="AF82">
        <v>41</v>
      </c>
      <c r="AG82">
        <v>42</v>
      </c>
      <c r="AH82">
        <v>42</v>
      </c>
      <c r="AI82">
        <v>45</v>
      </c>
      <c r="AJ82">
        <v>45</v>
      </c>
      <c r="AK82">
        <v>47</v>
      </c>
      <c r="AL82">
        <v>48</v>
      </c>
      <c r="AM82">
        <v>48</v>
      </c>
      <c r="AN82">
        <v>46</v>
      </c>
      <c r="AO82">
        <v>45</v>
      </c>
      <c r="AP82">
        <v>36</v>
      </c>
      <c r="AQ82">
        <v>39</v>
      </c>
      <c r="AR82">
        <v>37</v>
      </c>
      <c r="AS82">
        <v>37</v>
      </c>
      <c r="AT82">
        <v>38</v>
      </c>
      <c r="AU82">
        <v>37</v>
      </c>
      <c r="AV82">
        <v>44</v>
      </c>
      <c r="AW82">
        <v>38</v>
      </c>
      <c r="AX82">
        <v>32</v>
      </c>
      <c r="AY82">
        <v>39</v>
      </c>
      <c r="AZ82">
        <v>37</v>
      </c>
      <c r="BA82">
        <v>35</v>
      </c>
      <c r="BB82">
        <v>36</v>
      </c>
      <c r="BC82">
        <v>37</v>
      </c>
      <c r="BD82">
        <v>39</v>
      </c>
      <c r="BE82">
        <v>34</v>
      </c>
    </row>
    <row r="83" spans="1:57" x14ac:dyDescent="0.25">
      <c r="A83" s="30" t="s">
        <v>1514</v>
      </c>
      <c r="B83">
        <v>14</v>
      </c>
      <c r="C83">
        <v>14</v>
      </c>
      <c r="D83">
        <v>13</v>
      </c>
      <c r="E83">
        <v>15</v>
      </c>
      <c r="F83">
        <v>15</v>
      </c>
      <c r="G83">
        <v>15</v>
      </c>
      <c r="H83">
        <v>15</v>
      </c>
      <c r="I83">
        <v>16</v>
      </c>
      <c r="J83">
        <v>16</v>
      </c>
      <c r="K83">
        <v>16</v>
      </c>
      <c r="L83">
        <v>16</v>
      </c>
      <c r="M83">
        <v>16</v>
      </c>
      <c r="N83">
        <v>14</v>
      </c>
      <c r="O83">
        <v>14</v>
      </c>
      <c r="P83">
        <v>14</v>
      </c>
      <c r="Q83">
        <v>14</v>
      </c>
      <c r="R83">
        <v>14</v>
      </c>
      <c r="S83">
        <v>14</v>
      </c>
      <c r="T83">
        <v>14</v>
      </c>
      <c r="U83">
        <v>14</v>
      </c>
      <c r="V83">
        <v>14</v>
      </c>
      <c r="W83">
        <v>14</v>
      </c>
      <c r="X83">
        <v>14</v>
      </c>
      <c r="Y83">
        <v>14</v>
      </c>
      <c r="Z83">
        <v>14</v>
      </c>
      <c r="AA83">
        <v>14</v>
      </c>
      <c r="AC83" s="30"/>
      <c r="AD83" t="s">
        <v>1931</v>
      </c>
      <c r="AE83">
        <v>51</v>
      </c>
      <c r="AF83">
        <v>50</v>
      </c>
      <c r="AG83">
        <v>44</v>
      </c>
      <c r="AH83">
        <v>47</v>
      </c>
      <c r="AI83">
        <v>45</v>
      </c>
      <c r="AJ83">
        <v>57</v>
      </c>
      <c r="AK83">
        <v>56</v>
      </c>
      <c r="AL83">
        <v>32</v>
      </c>
      <c r="AM83">
        <v>17</v>
      </c>
      <c r="AN83">
        <v>16</v>
      </c>
      <c r="AO83">
        <v>18</v>
      </c>
      <c r="AP83">
        <v>15</v>
      </c>
      <c r="AQ83">
        <v>17</v>
      </c>
      <c r="AR83">
        <v>18</v>
      </c>
      <c r="AS83">
        <v>12</v>
      </c>
      <c r="AT83">
        <v>24</v>
      </c>
      <c r="AU83">
        <v>29</v>
      </c>
      <c r="AV83">
        <v>34</v>
      </c>
      <c r="AW83">
        <v>8</v>
      </c>
      <c r="AX83">
        <v>9</v>
      </c>
      <c r="AY83">
        <v>14</v>
      </c>
      <c r="AZ83">
        <v>34</v>
      </c>
      <c r="BA83">
        <v>19</v>
      </c>
      <c r="BB83">
        <v>13</v>
      </c>
      <c r="BC83">
        <v>18</v>
      </c>
      <c r="BD83">
        <v>14</v>
      </c>
      <c r="BE83">
        <v>23</v>
      </c>
    </row>
    <row r="84" spans="1:57" x14ac:dyDescent="0.25">
      <c r="A84" s="20" t="s">
        <v>1507</v>
      </c>
      <c r="B84">
        <v>1</v>
      </c>
      <c r="C84">
        <v>1</v>
      </c>
      <c r="D84">
        <v>1</v>
      </c>
      <c r="E84">
        <v>2</v>
      </c>
      <c r="F84">
        <v>2</v>
      </c>
      <c r="G84">
        <v>3</v>
      </c>
      <c r="H84">
        <v>3</v>
      </c>
      <c r="I84">
        <v>3</v>
      </c>
      <c r="J84">
        <v>4</v>
      </c>
      <c r="K84">
        <v>4</v>
      </c>
      <c r="L84">
        <v>4</v>
      </c>
      <c r="M84">
        <v>5</v>
      </c>
      <c r="N84">
        <v>5</v>
      </c>
      <c r="O84">
        <v>5</v>
      </c>
      <c r="P84">
        <v>6</v>
      </c>
      <c r="Q84">
        <v>6</v>
      </c>
      <c r="R84">
        <v>6</v>
      </c>
      <c r="S84">
        <v>6</v>
      </c>
      <c r="T84">
        <v>6</v>
      </c>
      <c r="U84">
        <v>6</v>
      </c>
      <c r="V84">
        <v>5</v>
      </c>
      <c r="W84">
        <v>6</v>
      </c>
      <c r="X84">
        <v>6</v>
      </c>
      <c r="Y84">
        <v>6</v>
      </c>
      <c r="Z84">
        <v>6</v>
      </c>
      <c r="AA84">
        <v>6</v>
      </c>
      <c r="AC84" s="20"/>
      <c r="AD84" t="s">
        <v>1663</v>
      </c>
      <c r="AE84">
        <v>11</v>
      </c>
      <c r="AF84">
        <v>12</v>
      </c>
      <c r="AG84">
        <v>12</v>
      </c>
      <c r="AH84">
        <v>12</v>
      </c>
      <c r="AI84">
        <v>12</v>
      </c>
      <c r="AJ84">
        <v>13</v>
      </c>
      <c r="AK84">
        <v>13</v>
      </c>
      <c r="AL84">
        <v>13</v>
      </c>
      <c r="AM84">
        <v>13</v>
      </c>
      <c r="AN84">
        <v>14</v>
      </c>
      <c r="AO84">
        <v>14</v>
      </c>
      <c r="AP84">
        <v>14</v>
      </c>
      <c r="AQ84">
        <v>14</v>
      </c>
      <c r="AR84">
        <v>14</v>
      </c>
      <c r="AS84">
        <v>15</v>
      </c>
      <c r="AT84">
        <v>15</v>
      </c>
      <c r="AU84">
        <v>15</v>
      </c>
      <c r="AV84">
        <v>15</v>
      </c>
      <c r="AW84">
        <v>15</v>
      </c>
      <c r="AX84">
        <v>15</v>
      </c>
      <c r="AY84">
        <v>15</v>
      </c>
      <c r="AZ84">
        <v>15</v>
      </c>
      <c r="BA84">
        <v>16</v>
      </c>
      <c r="BB84">
        <v>16</v>
      </c>
      <c r="BC84">
        <v>16</v>
      </c>
      <c r="BD84">
        <v>16</v>
      </c>
      <c r="BE84">
        <v>17</v>
      </c>
    </row>
    <row r="85" spans="1:57" x14ac:dyDescent="0.25">
      <c r="A85" s="20" t="s">
        <v>1480</v>
      </c>
      <c r="B85">
        <v>2</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C85" s="20"/>
      <c r="AD85" t="s">
        <v>1932</v>
      </c>
      <c r="AE85">
        <v>14</v>
      </c>
      <c r="AF85">
        <v>14</v>
      </c>
      <c r="AG85">
        <v>13</v>
      </c>
      <c r="AH85">
        <v>15</v>
      </c>
      <c r="AI85">
        <v>15</v>
      </c>
      <c r="AJ85">
        <v>15</v>
      </c>
      <c r="AK85">
        <v>15</v>
      </c>
      <c r="AL85">
        <v>16</v>
      </c>
      <c r="AM85">
        <v>16</v>
      </c>
      <c r="AN85">
        <v>16</v>
      </c>
      <c r="AO85">
        <v>16</v>
      </c>
      <c r="AP85">
        <v>16</v>
      </c>
      <c r="AQ85">
        <v>14</v>
      </c>
      <c r="AR85">
        <v>14</v>
      </c>
      <c r="AS85">
        <v>14</v>
      </c>
      <c r="AT85">
        <v>14</v>
      </c>
      <c r="AU85">
        <v>14</v>
      </c>
      <c r="AV85">
        <v>14</v>
      </c>
      <c r="AW85">
        <v>14</v>
      </c>
      <c r="AX85">
        <v>14</v>
      </c>
      <c r="AY85">
        <v>14</v>
      </c>
      <c r="AZ85">
        <v>14</v>
      </c>
      <c r="BA85">
        <v>14</v>
      </c>
      <c r="BB85">
        <v>14</v>
      </c>
      <c r="BC85">
        <v>14</v>
      </c>
      <c r="BD85">
        <v>14</v>
      </c>
      <c r="BE85">
        <v>14</v>
      </c>
    </row>
    <row r="86" spans="1:57" x14ac:dyDescent="0.25">
      <c r="A86" s="20" t="s">
        <v>1515</v>
      </c>
      <c r="B86" t="s">
        <v>1537</v>
      </c>
      <c r="C86" t="s">
        <v>1537</v>
      </c>
      <c r="D86" t="s">
        <v>1537</v>
      </c>
      <c r="E86" t="s">
        <v>1537</v>
      </c>
      <c r="F86" t="s">
        <v>1537</v>
      </c>
      <c r="G86" t="s">
        <v>1537</v>
      </c>
      <c r="H86" t="s">
        <v>1537</v>
      </c>
      <c r="I86" t="s">
        <v>1537</v>
      </c>
      <c r="J86" t="s">
        <v>1537</v>
      </c>
      <c r="K86" t="s">
        <v>1537</v>
      </c>
      <c r="L86" t="s">
        <v>1537</v>
      </c>
      <c r="M86" t="s">
        <v>1537</v>
      </c>
      <c r="N86" t="s">
        <v>1537</v>
      </c>
      <c r="O86" t="s">
        <v>1537</v>
      </c>
      <c r="P86" t="s">
        <v>1537</v>
      </c>
      <c r="Q86" t="s">
        <v>1537</v>
      </c>
      <c r="R86">
        <v>1</v>
      </c>
      <c r="S86">
        <v>1</v>
      </c>
      <c r="T86">
        <v>1</v>
      </c>
      <c r="U86" t="s">
        <v>1537</v>
      </c>
      <c r="V86" t="s">
        <v>1537</v>
      </c>
      <c r="W86">
        <v>1</v>
      </c>
      <c r="X86">
        <v>1</v>
      </c>
      <c r="Y86">
        <v>1</v>
      </c>
      <c r="Z86">
        <v>1</v>
      </c>
      <c r="AA86">
        <v>1</v>
      </c>
      <c r="AC86" s="20"/>
      <c r="AD86" t="s">
        <v>1933</v>
      </c>
      <c r="AE86">
        <v>6</v>
      </c>
      <c r="AF86">
        <v>5</v>
      </c>
      <c r="AG86">
        <v>6</v>
      </c>
      <c r="AH86">
        <v>6</v>
      </c>
      <c r="AI86">
        <v>6</v>
      </c>
      <c r="AJ86">
        <v>7</v>
      </c>
      <c r="AK86">
        <v>6</v>
      </c>
      <c r="AL86">
        <v>7</v>
      </c>
      <c r="AM86">
        <v>7</v>
      </c>
      <c r="AN86">
        <v>7</v>
      </c>
      <c r="AO86">
        <v>7</v>
      </c>
      <c r="AP86">
        <v>6</v>
      </c>
      <c r="AQ86">
        <v>7</v>
      </c>
      <c r="AR86">
        <v>7</v>
      </c>
      <c r="AS86">
        <v>7</v>
      </c>
      <c r="AT86">
        <v>7</v>
      </c>
      <c r="AU86">
        <v>7</v>
      </c>
      <c r="AV86">
        <v>7</v>
      </c>
      <c r="AW86">
        <v>7</v>
      </c>
      <c r="AX86">
        <v>6</v>
      </c>
      <c r="AY86">
        <v>7</v>
      </c>
      <c r="AZ86">
        <v>7</v>
      </c>
      <c r="BA86">
        <v>7</v>
      </c>
      <c r="BB86">
        <v>7</v>
      </c>
      <c r="BC86">
        <v>7</v>
      </c>
      <c r="BD86">
        <v>7</v>
      </c>
      <c r="BE86">
        <v>7</v>
      </c>
    </row>
    <row r="87" spans="1:57" x14ac:dyDescent="0.25">
      <c r="A87" s="20" t="s">
        <v>1509</v>
      </c>
      <c r="B87" t="s">
        <v>1537</v>
      </c>
      <c r="C87" t="s">
        <v>1537</v>
      </c>
      <c r="D87" t="s">
        <v>1537</v>
      </c>
      <c r="E87" t="s">
        <v>1537</v>
      </c>
      <c r="F87" t="s">
        <v>1537</v>
      </c>
      <c r="G87" t="s">
        <v>1537</v>
      </c>
      <c r="H87" t="s">
        <v>1537</v>
      </c>
      <c r="I87" t="s">
        <v>1537</v>
      </c>
      <c r="J87" t="s">
        <v>1537</v>
      </c>
      <c r="K87" t="s">
        <v>1537</v>
      </c>
      <c r="L87" t="s">
        <v>1537</v>
      </c>
      <c r="M87" t="s">
        <v>1537</v>
      </c>
      <c r="N87" t="s">
        <v>1537</v>
      </c>
      <c r="O87" t="s">
        <v>1537</v>
      </c>
      <c r="P87" t="s">
        <v>1537</v>
      </c>
      <c r="Q87" t="s">
        <v>1537</v>
      </c>
      <c r="R87" t="s">
        <v>1537</v>
      </c>
      <c r="S87" t="s">
        <v>1537</v>
      </c>
      <c r="T87" t="s">
        <v>1537</v>
      </c>
      <c r="U87" t="s">
        <v>1537</v>
      </c>
      <c r="V87" t="s">
        <v>1537</v>
      </c>
      <c r="W87" t="s">
        <v>1537</v>
      </c>
      <c r="X87" t="s">
        <v>1537</v>
      </c>
      <c r="Y87" t="s">
        <v>1537</v>
      </c>
      <c r="Z87" t="s">
        <v>1537</v>
      </c>
      <c r="AA87" t="s">
        <v>1537</v>
      </c>
      <c r="AC87" s="20"/>
      <c r="AD87" t="s">
        <v>1456</v>
      </c>
      <c r="AE87">
        <v>1</v>
      </c>
      <c r="AF87">
        <v>1</v>
      </c>
      <c r="AG87">
        <v>1</v>
      </c>
      <c r="AH87">
        <v>2</v>
      </c>
      <c r="AI87">
        <v>2</v>
      </c>
      <c r="AJ87">
        <v>3</v>
      </c>
      <c r="AK87">
        <v>3</v>
      </c>
      <c r="AL87">
        <v>3</v>
      </c>
      <c r="AM87">
        <v>4</v>
      </c>
      <c r="AN87">
        <v>4</v>
      </c>
      <c r="AO87">
        <v>4</v>
      </c>
      <c r="AP87">
        <v>5</v>
      </c>
      <c r="AQ87">
        <v>5</v>
      </c>
      <c r="AR87">
        <v>5</v>
      </c>
      <c r="AS87">
        <v>6</v>
      </c>
      <c r="AT87">
        <v>6</v>
      </c>
      <c r="AU87">
        <v>6</v>
      </c>
      <c r="AV87">
        <v>6</v>
      </c>
      <c r="AW87">
        <v>6</v>
      </c>
      <c r="AX87">
        <v>6</v>
      </c>
      <c r="AY87">
        <v>5</v>
      </c>
      <c r="AZ87">
        <v>6</v>
      </c>
      <c r="BA87">
        <v>6</v>
      </c>
      <c r="BB87">
        <v>6</v>
      </c>
      <c r="BC87">
        <v>6</v>
      </c>
      <c r="BD87">
        <v>6</v>
      </c>
      <c r="BE87">
        <v>6</v>
      </c>
    </row>
    <row r="88" spans="1:57" x14ac:dyDescent="0.25">
      <c r="A88" s="30" t="s">
        <v>1497</v>
      </c>
      <c r="B88">
        <v>3</v>
      </c>
      <c r="C88">
        <v>3</v>
      </c>
      <c r="D88">
        <v>3</v>
      </c>
      <c r="E88">
        <v>3</v>
      </c>
      <c r="F88">
        <v>3</v>
      </c>
      <c r="G88">
        <v>3</v>
      </c>
      <c r="H88">
        <v>3</v>
      </c>
      <c r="I88">
        <v>3</v>
      </c>
      <c r="J88">
        <v>3</v>
      </c>
      <c r="K88">
        <v>3</v>
      </c>
      <c r="L88">
        <v>3</v>
      </c>
      <c r="M88">
        <v>3</v>
      </c>
      <c r="N88">
        <v>3</v>
      </c>
      <c r="O88">
        <v>3</v>
      </c>
      <c r="P88">
        <v>3</v>
      </c>
      <c r="Q88">
        <v>3</v>
      </c>
      <c r="R88">
        <v>3</v>
      </c>
      <c r="S88">
        <v>3</v>
      </c>
      <c r="T88">
        <v>3</v>
      </c>
      <c r="U88">
        <v>3</v>
      </c>
      <c r="V88">
        <v>3</v>
      </c>
      <c r="W88">
        <v>3</v>
      </c>
      <c r="X88">
        <v>3</v>
      </c>
      <c r="Y88">
        <v>3</v>
      </c>
      <c r="Z88">
        <v>3</v>
      </c>
      <c r="AA88">
        <v>3</v>
      </c>
      <c r="AC88" s="30"/>
      <c r="AD88" t="s">
        <v>1720</v>
      </c>
      <c r="AE88">
        <v>2</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row>
    <row r="89" spans="1:57" x14ac:dyDescent="0.25">
      <c r="A89" s="331" t="s">
        <v>1516</v>
      </c>
      <c r="B89" t="s">
        <v>1538</v>
      </c>
      <c r="C89" t="s">
        <v>1538</v>
      </c>
      <c r="D89" t="s">
        <v>1538</v>
      </c>
      <c r="E89" t="s">
        <v>1538</v>
      </c>
      <c r="F89" t="s">
        <v>1538</v>
      </c>
      <c r="G89" t="s">
        <v>1538</v>
      </c>
      <c r="H89" t="s">
        <v>1538</v>
      </c>
      <c r="I89" t="s">
        <v>1538</v>
      </c>
      <c r="J89" t="s">
        <v>1538</v>
      </c>
      <c r="K89" t="s">
        <v>1538</v>
      </c>
      <c r="L89" t="s">
        <v>1538</v>
      </c>
      <c r="M89" t="s">
        <v>1538</v>
      </c>
      <c r="N89" t="s">
        <v>1538</v>
      </c>
      <c r="O89" t="s">
        <v>1538</v>
      </c>
      <c r="P89" t="s">
        <v>1538</v>
      </c>
      <c r="Q89" t="s">
        <v>1538</v>
      </c>
      <c r="R89" t="s">
        <v>1538</v>
      </c>
      <c r="S89" t="s">
        <v>1538</v>
      </c>
      <c r="T89" t="s">
        <v>1538</v>
      </c>
      <c r="U89" t="s">
        <v>1538</v>
      </c>
      <c r="V89" t="s">
        <v>1538</v>
      </c>
      <c r="W89" t="s">
        <v>1538</v>
      </c>
      <c r="X89" t="s">
        <v>1538</v>
      </c>
      <c r="Y89" t="s">
        <v>1538</v>
      </c>
      <c r="Z89" t="s">
        <v>1538</v>
      </c>
      <c r="AA89" t="s">
        <v>1538</v>
      </c>
      <c r="AC89" s="331"/>
      <c r="AD89" t="s">
        <v>1934</v>
      </c>
      <c r="AE89" t="s">
        <v>1537</v>
      </c>
      <c r="AF89" t="s">
        <v>1537</v>
      </c>
      <c r="AG89" t="s">
        <v>1537</v>
      </c>
      <c r="AH89" t="s">
        <v>1537</v>
      </c>
      <c r="AI89" t="s">
        <v>1537</v>
      </c>
      <c r="AJ89" t="s">
        <v>1537</v>
      </c>
      <c r="AK89" t="s">
        <v>1537</v>
      </c>
      <c r="AL89" t="s">
        <v>1537</v>
      </c>
      <c r="AM89" t="s">
        <v>1537</v>
      </c>
      <c r="AN89" t="s">
        <v>1537</v>
      </c>
      <c r="AO89" t="s">
        <v>1537</v>
      </c>
      <c r="AP89" t="s">
        <v>1537</v>
      </c>
      <c r="AQ89" t="s">
        <v>1537</v>
      </c>
      <c r="AR89" t="s">
        <v>1537</v>
      </c>
      <c r="AS89" t="s">
        <v>1537</v>
      </c>
      <c r="AT89" t="s">
        <v>1537</v>
      </c>
      <c r="AU89">
        <v>1</v>
      </c>
      <c r="AV89">
        <v>1</v>
      </c>
      <c r="AW89">
        <v>1</v>
      </c>
      <c r="AX89" t="s">
        <v>1537</v>
      </c>
      <c r="AY89" t="s">
        <v>1537</v>
      </c>
      <c r="AZ89">
        <v>1</v>
      </c>
      <c r="BA89">
        <v>1</v>
      </c>
      <c r="BB89">
        <v>1</v>
      </c>
      <c r="BC89">
        <v>1</v>
      </c>
      <c r="BD89">
        <v>1</v>
      </c>
      <c r="BE89">
        <v>1</v>
      </c>
    </row>
    <row r="90" spans="1:57" ht="24" x14ac:dyDescent="0.25">
      <c r="A90" s="30" t="s">
        <v>1517</v>
      </c>
      <c r="B90" t="s">
        <v>1538</v>
      </c>
      <c r="C90" t="s">
        <v>1538</v>
      </c>
      <c r="D90" t="s">
        <v>1538</v>
      </c>
      <c r="E90" t="s">
        <v>1538</v>
      </c>
      <c r="F90" t="s">
        <v>1538</v>
      </c>
      <c r="G90" t="s">
        <v>1538</v>
      </c>
      <c r="H90" t="s">
        <v>1538</v>
      </c>
      <c r="I90" t="s">
        <v>1538</v>
      </c>
      <c r="J90" t="s">
        <v>1538</v>
      </c>
      <c r="K90" t="s">
        <v>1538</v>
      </c>
      <c r="L90" t="s">
        <v>1538</v>
      </c>
      <c r="M90" t="s">
        <v>1538</v>
      </c>
      <c r="N90" t="s">
        <v>1538</v>
      </c>
      <c r="O90" t="s">
        <v>1538</v>
      </c>
      <c r="P90" t="s">
        <v>1538</v>
      </c>
      <c r="Q90" t="s">
        <v>1538</v>
      </c>
      <c r="R90" t="s">
        <v>1538</v>
      </c>
      <c r="S90" t="s">
        <v>1538</v>
      </c>
      <c r="T90" t="s">
        <v>1538</v>
      </c>
      <c r="U90" t="s">
        <v>1538</v>
      </c>
      <c r="V90" t="s">
        <v>1538</v>
      </c>
      <c r="W90" t="s">
        <v>1538</v>
      </c>
      <c r="X90" t="s">
        <v>1538</v>
      </c>
      <c r="Y90" t="s">
        <v>1538</v>
      </c>
      <c r="Z90" t="s">
        <v>1538</v>
      </c>
      <c r="AA90" t="s">
        <v>1538</v>
      </c>
      <c r="AC90" s="30"/>
      <c r="AD90" t="s">
        <v>1454</v>
      </c>
      <c r="AE90" t="s">
        <v>1537</v>
      </c>
      <c r="AF90" t="s">
        <v>1537</v>
      </c>
      <c r="AG90" t="s">
        <v>1537</v>
      </c>
      <c r="AH90" t="s">
        <v>1537</v>
      </c>
      <c r="AI90" t="s">
        <v>1537</v>
      </c>
      <c r="AJ90" t="s">
        <v>1537</v>
      </c>
      <c r="AK90" t="s">
        <v>1537</v>
      </c>
      <c r="AL90" t="s">
        <v>1537</v>
      </c>
      <c r="AM90" t="s">
        <v>1537</v>
      </c>
      <c r="AN90" t="s">
        <v>1537</v>
      </c>
      <c r="AO90" t="s">
        <v>1537</v>
      </c>
      <c r="AP90" t="s">
        <v>1537</v>
      </c>
      <c r="AQ90" t="s">
        <v>1537</v>
      </c>
      <c r="AR90" t="s">
        <v>1537</v>
      </c>
      <c r="AS90" t="s">
        <v>1537</v>
      </c>
      <c r="AT90" t="s">
        <v>1537</v>
      </c>
      <c r="AU90" t="s">
        <v>1537</v>
      </c>
      <c r="AV90" t="s">
        <v>1537</v>
      </c>
      <c r="AW90" t="s">
        <v>1537</v>
      </c>
      <c r="AX90" t="s">
        <v>1537</v>
      </c>
      <c r="AY90" t="s">
        <v>1537</v>
      </c>
      <c r="AZ90" t="s">
        <v>1537</v>
      </c>
      <c r="BA90" t="s">
        <v>1537</v>
      </c>
      <c r="BB90" t="s">
        <v>1537</v>
      </c>
      <c r="BC90" t="s">
        <v>1537</v>
      </c>
      <c r="BD90" t="s">
        <v>1537</v>
      </c>
      <c r="BE90" t="s">
        <v>1537</v>
      </c>
    </row>
    <row r="91" spans="1:57" x14ac:dyDescent="0.25">
      <c r="A91" s="20" t="s">
        <v>1518</v>
      </c>
      <c r="B91">
        <v>3</v>
      </c>
      <c r="C91">
        <v>3</v>
      </c>
      <c r="D91">
        <v>3</v>
      </c>
      <c r="E91">
        <v>3</v>
      </c>
      <c r="F91">
        <v>3</v>
      </c>
      <c r="G91">
        <v>3</v>
      </c>
      <c r="H91">
        <v>3</v>
      </c>
      <c r="I91">
        <v>3</v>
      </c>
      <c r="J91">
        <v>3</v>
      </c>
      <c r="K91">
        <v>3</v>
      </c>
      <c r="L91">
        <v>2</v>
      </c>
      <c r="M91">
        <v>2</v>
      </c>
      <c r="N91">
        <v>2</v>
      </c>
      <c r="O91">
        <v>1</v>
      </c>
      <c r="P91">
        <v>1</v>
      </c>
      <c r="Q91">
        <v>1</v>
      </c>
      <c r="R91">
        <v>1</v>
      </c>
      <c r="S91">
        <v>1</v>
      </c>
      <c r="T91">
        <v>1</v>
      </c>
      <c r="U91" t="s">
        <v>1537</v>
      </c>
      <c r="V91">
        <v>1</v>
      </c>
      <c r="W91">
        <v>1</v>
      </c>
      <c r="X91" t="s">
        <v>1537</v>
      </c>
      <c r="Y91" t="s">
        <v>1537</v>
      </c>
      <c r="Z91" t="s">
        <v>1537</v>
      </c>
      <c r="AA91" t="s">
        <v>1537</v>
      </c>
      <c r="AC91" s="20"/>
      <c r="AD91" t="s">
        <v>1926</v>
      </c>
      <c r="AE91">
        <v>3</v>
      </c>
      <c r="AF91">
        <v>3</v>
      </c>
      <c r="AG91">
        <v>3</v>
      </c>
      <c r="AH91">
        <v>3</v>
      </c>
      <c r="AI91">
        <v>3</v>
      </c>
      <c r="AJ91">
        <v>3</v>
      </c>
      <c r="AK91">
        <v>3</v>
      </c>
      <c r="AL91">
        <v>3</v>
      </c>
      <c r="AM91">
        <v>3</v>
      </c>
      <c r="AN91">
        <v>3</v>
      </c>
      <c r="AO91">
        <v>3</v>
      </c>
      <c r="AP91">
        <v>3</v>
      </c>
      <c r="AQ91">
        <v>3</v>
      </c>
      <c r="AR91">
        <v>3</v>
      </c>
      <c r="AS91">
        <v>3</v>
      </c>
      <c r="AT91">
        <v>3</v>
      </c>
      <c r="AU91">
        <v>3</v>
      </c>
      <c r="AV91">
        <v>3</v>
      </c>
      <c r="AW91">
        <v>3</v>
      </c>
      <c r="AX91">
        <v>3</v>
      </c>
      <c r="AY91">
        <v>3</v>
      </c>
      <c r="AZ91">
        <v>3</v>
      </c>
      <c r="BA91">
        <v>3</v>
      </c>
      <c r="BB91">
        <v>3</v>
      </c>
      <c r="BC91">
        <v>3</v>
      </c>
      <c r="BD91">
        <v>3</v>
      </c>
      <c r="BE91">
        <v>3</v>
      </c>
    </row>
    <row r="92" spans="1:57" x14ac:dyDescent="0.25">
      <c r="A92" s="20" t="s">
        <v>1515</v>
      </c>
      <c r="B92" t="s">
        <v>1537</v>
      </c>
      <c r="C92" t="s">
        <v>1537</v>
      </c>
      <c r="D92" t="s">
        <v>1537</v>
      </c>
      <c r="E92" t="s">
        <v>1537</v>
      </c>
      <c r="F92" t="s">
        <v>1537</v>
      </c>
      <c r="G92" t="s">
        <v>1537</v>
      </c>
      <c r="H92" t="s">
        <v>1537</v>
      </c>
      <c r="I92" t="s">
        <v>1537</v>
      </c>
      <c r="J92" t="s">
        <v>1537</v>
      </c>
      <c r="K92" t="s">
        <v>1537</v>
      </c>
      <c r="L92" t="s">
        <v>1537</v>
      </c>
      <c r="M92" t="s">
        <v>1537</v>
      </c>
      <c r="N92" t="s">
        <v>1537</v>
      </c>
      <c r="O92" t="s">
        <v>1537</v>
      </c>
      <c r="P92" t="s">
        <v>1537</v>
      </c>
      <c r="Q92" t="s">
        <v>1537</v>
      </c>
      <c r="R92" t="s">
        <v>1537</v>
      </c>
      <c r="S92" t="s">
        <v>1537</v>
      </c>
      <c r="T92" t="s">
        <v>1537</v>
      </c>
      <c r="U92" t="s">
        <v>1537</v>
      </c>
      <c r="V92" t="s">
        <v>1537</v>
      </c>
      <c r="W92" t="s">
        <v>1537</v>
      </c>
      <c r="X92" t="s">
        <v>1537</v>
      </c>
      <c r="Y92" t="s">
        <v>1537</v>
      </c>
      <c r="Z92" t="s">
        <v>1537</v>
      </c>
      <c r="AA92" t="s">
        <v>1537</v>
      </c>
      <c r="AC92" s="20"/>
      <c r="AD92" t="s">
        <v>1530</v>
      </c>
      <c r="AE92" t="s">
        <v>1538</v>
      </c>
      <c r="AF92" t="s">
        <v>1538</v>
      </c>
      <c r="AG92" t="s">
        <v>1538</v>
      </c>
      <c r="AH92" t="s">
        <v>1538</v>
      </c>
      <c r="AI92" t="s">
        <v>1538</v>
      </c>
      <c r="AJ92" t="s">
        <v>1538</v>
      </c>
      <c r="AK92" t="s">
        <v>1538</v>
      </c>
      <c r="AL92" t="s">
        <v>1538</v>
      </c>
      <c r="AM92" t="s">
        <v>1538</v>
      </c>
      <c r="AN92" t="s">
        <v>1538</v>
      </c>
      <c r="AO92" t="s">
        <v>1538</v>
      </c>
      <c r="AP92" t="s">
        <v>1538</v>
      </c>
      <c r="AQ92" t="s">
        <v>1538</v>
      </c>
      <c r="AR92" t="s">
        <v>1538</v>
      </c>
      <c r="AS92" t="s">
        <v>1538</v>
      </c>
      <c r="AT92" t="s">
        <v>1538</v>
      </c>
      <c r="AU92" t="s">
        <v>1538</v>
      </c>
      <c r="AV92" t="s">
        <v>1538</v>
      </c>
      <c r="AW92" t="s">
        <v>1538</v>
      </c>
      <c r="AX92" t="s">
        <v>1538</v>
      </c>
      <c r="AY92" t="s">
        <v>1538</v>
      </c>
      <c r="AZ92" t="s">
        <v>1538</v>
      </c>
      <c r="BA92" t="s">
        <v>1538</v>
      </c>
      <c r="BB92" t="s">
        <v>1538</v>
      </c>
      <c r="BC92" t="s">
        <v>1538</v>
      </c>
      <c r="BD92" t="s">
        <v>1538</v>
      </c>
      <c r="BE92" t="s">
        <v>1538</v>
      </c>
    </row>
    <row r="93" spans="1:57" ht="24" x14ac:dyDescent="0.25">
      <c r="A93" s="20" t="s">
        <v>1495</v>
      </c>
      <c r="B93">
        <v>0</v>
      </c>
      <c r="C93">
        <v>0</v>
      </c>
      <c r="D93">
        <v>0</v>
      </c>
      <c r="E93">
        <v>0</v>
      </c>
      <c r="F93">
        <v>0</v>
      </c>
      <c r="G93">
        <v>0</v>
      </c>
      <c r="H93">
        <v>0</v>
      </c>
      <c r="I93">
        <v>0</v>
      </c>
      <c r="J93">
        <v>0</v>
      </c>
      <c r="K93">
        <v>0</v>
      </c>
      <c r="L93">
        <v>0</v>
      </c>
      <c r="M93">
        <v>0</v>
      </c>
      <c r="N93">
        <v>0</v>
      </c>
      <c r="O93">
        <v>0</v>
      </c>
      <c r="P93">
        <v>0</v>
      </c>
      <c r="Q93">
        <v>0</v>
      </c>
      <c r="R93" t="s">
        <v>1537</v>
      </c>
      <c r="S93" t="s">
        <v>1537</v>
      </c>
      <c r="T93" t="s">
        <v>1537</v>
      </c>
      <c r="U93" t="s">
        <v>1537</v>
      </c>
      <c r="V93" t="s">
        <v>1537</v>
      </c>
      <c r="W93" t="s">
        <v>1537</v>
      </c>
      <c r="X93" t="s">
        <v>1537</v>
      </c>
      <c r="Y93" t="s">
        <v>1537</v>
      </c>
      <c r="Z93" t="s">
        <v>1537</v>
      </c>
      <c r="AA93" t="s">
        <v>1537</v>
      </c>
      <c r="AC93" s="20"/>
      <c r="AD93" t="s">
        <v>1935</v>
      </c>
      <c r="AE93" t="s">
        <v>1538</v>
      </c>
      <c r="AF93" t="s">
        <v>1538</v>
      </c>
      <c r="AG93" t="s">
        <v>1538</v>
      </c>
      <c r="AH93" t="s">
        <v>1538</v>
      </c>
      <c r="AI93" t="s">
        <v>1538</v>
      </c>
      <c r="AJ93" t="s">
        <v>1538</v>
      </c>
      <c r="AK93" t="s">
        <v>1538</v>
      </c>
      <c r="AL93" t="s">
        <v>1538</v>
      </c>
      <c r="AM93" t="s">
        <v>1538</v>
      </c>
      <c r="AN93" t="s">
        <v>1538</v>
      </c>
      <c r="AO93" t="s">
        <v>1538</v>
      </c>
      <c r="AP93" t="s">
        <v>1538</v>
      </c>
      <c r="AQ93" t="s">
        <v>1538</v>
      </c>
      <c r="AR93" t="s">
        <v>1538</v>
      </c>
      <c r="AS93" t="s">
        <v>1538</v>
      </c>
      <c r="AT93" t="s">
        <v>1538</v>
      </c>
      <c r="AU93" t="s">
        <v>1538</v>
      </c>
      <c r="AV93" t="s">
        <v>1538</v>
      </c>
      <c r="AW93" t="s">
        <v>1538</v>
      </c>
      <c r="AX93" t="s">
        <v>1538</v>
      </c>
      <c r="AY93" t="s">
        <v>1538</v>
      </c>
      <c r="AZ93" t="s">
        <v>1538</v>
      </c>
      <c r="BA93" t="s">
        <v>1538</v>
      </c>
      <c r="BB93" t="s">
        <v>1538</v>
      </c>
      <c r="BC93" t="s">
        <v>1538</v>
      </c>
      <c r="BD93" t="s">
        <v>1538</v>
      </c>
      <c r="BE93" t="s">
        <v>1538</v>
      </c>
    </row>
    <row r="94" spans="1:57" x14ac:dyDescent="0.25">
      <c r="A94" s="331" t="s">
        <v>1519</v>
      </c>
      <c r="B94" t="s">
        <v>1538</v>
      </c>
      <c r="C94" t="s">
        <v>1538</v>
      </c>
      <c r="D94" t="s">
        <v>1538</v>
      </c>
      <c r="E94" t="s">
        <v>1538</v>
      </c>
      <c r="F94" t="s">
        <v>1538</v>
      </c>
      <c r="G94" t="s">
        <v>1538</v>
      </c>
      <c r="H94" t="s">
        <v>1538</v>
      </c>
      <c r="I94" t="s">
        <v>1538</v>
      </c>
      <c r="J94" t="s">
        <v>1538</v>
      </c>
      <c r="K94" t="s">
        <v>1538</v>
      </c>
      <c r="L94" t="s">
        <v>1538</v>
      </c>
      <c r="M94" t="s">
        <v>1538</v>
      </c>
      <c r="N94" t="s">
        <v>1538</v>
      </c>
      <c r="O94" t="s">
        <v>1538</v>
      </c>
      <c r="P94" t="s">
        <v>1538</v>
      </c>
      <c r="Q94" t="s">
        <v>1538</v>
      </c>
      <c r="R94" t="s">
        <v>1538</v>
      </c>
      <c r="S94" t="s">
        <v>1538</v>
      </c>
      <c r="T94" t="s">
        <v>1538</v>
      </c>
      <c r="U94" t="s">
        <v>1538</v>
      </c>
      <c r="V94" t="s">
        <v>1538</v>
      </c>
      <c r="W94" t="s">
        <v>1538</v>
      </c>
      <c r="X94" t="s">
        <v>1538</v>
      </c>
      <c r="Y94" t="s">
        <v>1538</v>
      </c>
      <c r="Z94" t="s">
        <v>1538</v>
      </c>
      <c r="AA94" t="s">
        <v>1538</v>
      </c>
      <c r="AC94" s="331"/>
      <c r="AD94" t="s">
        <v>281</v>
      </c>
      <c r="AE94">
        <v>3</v>
      </c>
      <c r="AF94">
        <v>3</v>
      </c>
      <c r="AG94">
        <v>3</v>
      </c>
      <c r="AH94">
        <v>3</v>
      </c>
      <c r="AI94">
        <v>3</v>
      </c>
      <c r="AJ94">
        <v>3</v>
      </c>
      <c r="AK94">
        <v>3</v>
      </c>
      <c r="AL94">
        <v>3</v>
      </c>
      <c r="AM94">
        <v>3</v>
      </c>
      <c r="AN94">
        <v>3</v>
      </c>
      <c r="AO94">
        <v>2</v>
      </c>
      <c r="AP94">
        <v>2</v>
      </c>
      <c r="AQ94">
        <v>2</v>
      </c>
      <c r="AR94">
        <v>1</v>
      </c>
      <c r="AS94">
        <v>1</v>
      </c>
      <c r="AT94">
        <v>1</v>
      </c>
      <c r="AU94">
        <v>1</v>
      </c>
      <c r="AV94">
        <v>1</v>
      </c>
      <c r="AW94">
        <v>1</v>
      </c>
      <c r="AX94" t="s">
        <v>1537</v>
      </c>
      <c r="AY94">
        <v>1</v>
      </c>
      <c r="AZ94">
        <v>1</v>
      </c>
      <c r="BA94" t="s">
        <v>1537</v>
      </c>
      <c r="BB94" t="s">
        <v>1537</v>
      </c>
      <c r="BC94" t="s">
        <v>1537</v>
      </c>
      <c r="BD94" t="s">
        <v>1537</v>
      </c>
      <c r="BE94" t="s">
        <v>1537</v>
      </c>
    </row>
    <row r="95" spans="1:57" x14ac:dyDescent="0.25">
      <c r="A95" s="20" t="s">
        <v>1515</v>
      </c>
      <c r="B95" t="s">
        <v>1538</v>
      </c>
      <c r="C95" t="s">
        <v>1538</v>
      </c>
      <c r="D95" t="s">
        <v>1538</v>
      </c>
      <c r="E95" t="s">
        <v>1538</v>
      </c>
      <c r="F95" t="s">
        <v>1538</v>
      </c>
      <c r="G95" t="s">
        <v>1538</v>
      </c>
      <c r="H95" t="s">
        <v>1538</v>
      </c>
      <c r="I95" t="s">
        <v>1538</v>
      </c>
      <c r="J95" t="s">
        <v>1538</v>
      </c>
      <c r="K95" t="s">
        <v>1538</v>
      </c>
      <c r="L95" t="s">
        <v>1538</v>
      </c>
      <c r="M95" t="s">
        <v>1538</v>
      </c>
      <c r="N95" t="s">
        <v>1538</v>
      </c>
      <c r="O95" t="s">
        <v>1538</v>
      </c>
      <c r="P95" t="s">
        <v>1538</v>
      </c>
      <c r="Q95" t="s">
        <v>1538</v>
      </c>
      <c r="R95" t="s">
        <v>1538</v>
      </c>
      <c r="S95" t="s">
        <v>1538</v>
      </c>
      <c r="T95" t="s">
        <v>1538</v>
      </c>
      <c r="U95" t="s">
        <v>1538</v>
      </c>
      <c r="V95" t="s">
        <v>1538</v>
      </c>
      <c r="W95" t="s">
        <v>1538</v>
      </c>
      <c r="X95" t="s">
        <v>1538</v>
      </c>
      <c r="Y95" t="s">
        <v>1538</v>
      </c>
      <c r="Z95" t="s">
        <v>1538</v>
      </c>
      <c r="AA95" t="s">
        <v>1538</v>
      </c>
      <c r="AC95" s="20"/>
      <c r="AD95" t="s">
        <v>1934</v>
      </c>
      <c r="AE95" t="s">
        <v>1538</v>
      </c>
      <c r="AF95" t="s">
        <v>1538</v>
      </c>
      <c r="AG95" t="s">
        <v>1538</v>
      </c>
      <c r="AH95" t="s">
        <v>1538</v>
      </c>
      <c r="AI95" t="s">
        <v>1538</v>
      </c>
      <c r="AJ95" t="s">
        <v>1538</v>
      </c>
      <c r="AK95" t="s">
        <v>1538</v>
      </c>
      <c r="AL95" t="s">
        <v>1538</v>
      </c>
      <c r="AM95" t="s">
        <v>1538</v>
      </c>
      <c r="AN95" t="s">
        <v>1538</v>
      </c>
      <c r="AO95" t="s">
        <v>1538</v>
      </c>
      <c r="AP95" t="s">
        <v>1538</v>
      </c>
      <c r="AQ95" t="s">
        <v>1538</v>
      </c>
      <c r="AR95" t="s">
        <v>1538</v>
      </c>
      <c r="AS95" t="s">
        <v>1538</v>
      </c>
      <c r="AT95" t="s">
        <v>1538</v>
      </c>
      <c r="AU95" t="s">
        <v>1538</v>
      </c>
      <c r="AV95" t="s">
        <v>1538</v>
      </c>
      <c r="AW95" t="s">
        <v>1538</v>
      </c>
      <c r="AX95" t="s">
        <v>1538</v>
      </c>
      <c r="AY95" t="s">
        <v>1538</v>
      </c>
      <c r="AZ95" t="s">
        <v>1538</v>
      </c>
      <c r="BA95" t="s">
        <v>1538</v>
      </c>
      <c r="BB95" t="s">
        <v>1538</v>
      </c>
      <c r="BC95" t="s">
        <v>1538</v>
      </c>
      <c r="BD95" t="s">
        <v>1538</v>
      </c>
      <c r="BE95" t="s">
        <v>1538</v>
      </c>
    </row>
    <row r="96" spans="1:57" x14ac:dyDescent="0.25">
      <c r="A96" s="20" t="s">
        <v>1486</v>
      </c>
      <c r="B96" t="s">
        <v>1538</v>
      </c>
      <c r="C96" t="s">
        <v>1538</v>
      </c>
      <c r="D96" t="s">
        <v>1538</v>
      </c>
      <c r="E96" t="s">
        <v>1538</v>
      </c>
      <c r="F96" t="s">
        <v>1538</v>
      </c>
      <c r="G96" t="s">
        <v>1538</v>
      </c>
      <c r="H96" t="s">
        <v>1538</v>
      </c>
      <c r="I96" t="s">
        <v>1538</v>
      </c>
      <c r="J96" t="s">
        <v>1538</v>
      </c>
      <c r="K96" t="s">
        <v>1538</v>
      </c>
      <c r="L96" t="s">
        <v>1538</v>
      </c>
      <c r="M96" t="s">
        <v>1538</v>
      </c>
      <c r="N96" t="s">
        <v>1538</v>
      </c>
      <c r="O96" t="s">
        <v>1538</v>
      </c>
      <c r="P96" t="s">
        <v>1538</v>
      </c>
      <c r="Q96" t="s">
        <v>1538</v>
      </c>
      <c r="R96" t="s">
        <v>1538</v>
      </c>
      <c r="S96" t="s">
        <v>1538</v>
      </c>
      <c r="T96" t="s">
        <v>1538</v>
      </c>
      <c r="U96" t="s">
        <v>1538</v>
      </c>
      <c r="V96" t="s">
        <v>1538</v>
      </c>
      <c r="W96" t="s">
        <v>1538</v>
      </c>
      <c r="X96" t="s">
        <v>1538</v>
      </c>
      <c r="Y96" t="s">
        <v>1538</v>
      </c>
      <c r="Z96" t="s">
        <v>1538</v>
      </c>
      <c r="AA96" t="s">
        <v>1538</v>
      </c>
      <c r="AC96" s="20"/>
      <c r="AD96" t="s">
        <v>280</v>
      </c>
      <c r="AE96">
        <v>0</v>
      </c>
      <c r="AF96">
        <v>0</v>
      </c>
      <c r="AG96">
        <v>0</v>
      </c>
      <c r="AH96">
        <v>0</v>
      </c>
      <c r="AI96">
        <v>0</v>
      </c>
      <c r="AJ96">
        <v>0</v>
      </c>
      <c r="AK96">
        <v>0</v>
      </c>
      <c r="AL96">
        <v>0</v>
      </c>
      <c r="AM96">
        <v>0</v>
      </c>
      <c r="AN96">
        <v>0</v>
      </c>
      <c r="AO96">
        <v>0</v>
      </c>
      <c r="AP96">
        <v>0</v>
      </c>
      <c r="AQ96">
        <v>0</v>
      </c>
      <c r="AR96">
        <v>0</v>
      </c>
      <c r="AS96">
        <v>0</v>
      </c>
      <c r="AT96">
        <v>0</v>
      </c>
      <c r="AU96" t="s">
        <v>1537</v>
      </c>
      <c r="AV96" t="s">
        <v>1537</v>
      </c>
      <c r="AW96" t="s">
        <v>1537</v>
      </c>
      <c r="AX96" t="s">
        <v>1537</v>
      </c>
      <c r="AY96" t="s">
        <v>1537</v>
      </c>
      <c r="AZ96" t="s">
        <v>1537</v>
      </c>
      <c r="BA96" t="s">
        <v>1537</v>
      </c>
      <c r="BB96" t="s">
        <v>1537</v>
      </c>
      <c r="BC96" t="s">
        <v>1537</v>
      </c>
      <c r="BD96" t="s">
        <v>1537</v>
      </c>
      <c r="BE96" t="s">
        <v>1537</v>
      </c>
    </row>
    <row r="97" spans="1:57" ht="24" x14ac:dyDescent="0.25">
      <c r="A97" s="20" t="s">
        <v>1520</v>
      </c>
      <c r="B97">
        <v>0</v>
      </c>
      <c r="C97">
        <v>0</v>
      </c>
      <c r="D97">
        <v>0</v>
      </c>
      <c r="E97">
        <v>0</v>
      </c>
      <c r="F97" t="s">
        <v>1537</v>
      </c>
      <c r="G97" t="s">
        <v>1537</v>
      </c>
      <c r="H97" t="s">
        <v>1537</v>
      </c>
      <c r="I97" t="s">
        <v>1537</v>
      </c>
      <c r="J97" t="s">
        <v>1537</v>
      </c>
      <c r="K97" t="s">
        <v>1537</v>
      </c>
      <c r="L97" t="s">
        <v>1537</v>
      </c>
      <c r="M97" t="s">
        <v>1537</v>
      </c>
      <c r="N97" t="s">
        <v>1537</v>
      </c>
      <c r="O97" t="s">
        <v>1537</v>
      </c>
      <c r="P97" t="s">
        <v>1537</v>
      </c>
      <c r="Q97" t="s">
        <v>1539</v>
      </c>
      <c r="R97" t="s">
        <v>1537</v>
      </c>
      <c r="S97" t="s">
        <v>1537</v>
      </c>
      <c r="T97" t="s">
        <v>1537</v>
      </c>
      <c r="U97" t="s">
        <v>1537</v>
      </c>
      <c r="V97" t="s">
        <v>1537</v>
      </c>
      <c r="W97" t="s">
        <v>1539</v>
      </c>
      <c r="X97" t="s">
        <v>1539</v>
      </c>
      <c r="Y97" t="s">
        <v>1539</v>
      </c>
      <c r="Z97" t="s">
        <v>1539</v>
      </c>
      <c r="AA97" t="s">
        <v>1539</v>
      </c>
      <c r="AC97" s="20"/>
      <c r="AD97" t="s">
        <v>1531</v>
      </c>
      <c r="AE97" t="s">
        <v>1538</v>
      </c>
      <c r="AF97" t="s">
        <v>1538</v>
      </c>
      <c r="AG97" t="s">
        <v>1538</v>
      </c>
      <c r="AH97" t="s">
        <v>1538</v>
      </c>
      <c r="AI97" t="s">
        <v>1538</v>
      </c>
      <c r="AJ97" t="s">
        <v>1538</v>
      </c>
      <c r="AK97" t="s">
        <v>1538</v>
      </c>
      <c r="AL97" t="s">
        <v>1538</v>
      </c>
      <c r="AM97" t="s">
        <v>1538</v>
      </c>
      <c r="AN97" t="s">
        <v>1538</v>
      </c>
      <c r="AO97" t="s">
        <v>1538</v>
      </c>
      <c r="AP97" t="s">
        <v>1538</v>
      </c>
      <c r="AQ97" t="s">
        <v>1538</v>
      </c>
      <c r="AR97" t="s">
        <v>1538</v>
      </c>
      <c r="AS97" t="s">
        <v>1538</v>
      </c>
      <c r="AT97" t="s">
        <v>1538</v>
      </c>
      <c r="AU97" t="s">
        <v>1538</v>
      </c>
      <c r="AV97" t="s">
        <v>1538</v>
      </c>
      <c r="AW97" t="s">
        <v>1538</v>
      </c>
      <c r="AX97" t="s">
        <v>1538</v>
      </c>
      <c r="AY97" t="s">
        <v>1538</v>
      </c>
      <c r="AZ97" t="s">
        <v>1538</v>
      </c>
      <c r="BA97" t="s">
        <v>1538</v>
      </c>
      <c r="BB97" t="s">
        <v>1538</v>
      </c>
      <c r="BC97" t="s">
        <v>1538</v>
      </c>
      <c r="BD97" t="s">
        <v>1538</v>
      </c>
      <c r="BE97" t="s">
        <v>1538</v>
      </c>
    </row>
    <row r="98" spans="1:57" x14ac:dyDescent="0.25">
      <c r="A98" s="30" t="s">
        <v>1521</v>
      </c>
      <c r="B98">
        <v>1</v>
      </c>
      <c r="C98">
        <v>1</v>
      </c>
      <c r="D98">
        <v>1</v>
      </c>
      <c r="E98">
        <v>1</v>
      </c>
      <c r="F98">
        <v>1</v>
      </c>
      <c r="G98">
        <v>1</v>
      </c>
      <c r="H98">
        <v>1</v>
      </c>
      <c r="I98">
        <v>1</v>
      </c>
      <c r="J98">
        <v>1</v>
      </c>
      <c r="K98">
        <v>1</v>
      </c>
      <c r="L98">
        <v>1</v>
      </c>
      <c r="M98">
        <v>1</v>
      </c>
      <c r="N98">
        <v>1</v>
      </c>
      <c r="O98">
        <v>1</v>
      </c>
      <c r="P98">
        <v>1</v>
      </c>
      <c r="Q98">
        <v>1</v>
      </c>
      <c r="R98" t="s">
        <v>1537</v>
      </c>
      <c r="S98" t="s">
        <v>1537</v>
      </c>
      <c r="T98" t="s">
        <v>1537</v>
      </c>
      <c r="U98" t="s">
        <v>1537</v>
      </c>
      <c r="V98" t="s">
        <v>1537</v>
      </c>
      <c r="W98" t="s">
        <v>1537</v>
      </c>
      <c r="X98" t="s">
        <v>1537</v>
      </c>
      <c r="Y98" t="s">
        <v>1537</v>
      </c>
      <c r="Z98" t="s">
        <v>1537</v>
      </c>
      <c r="AA98" t="s">
        <v>1537</v>
      </c>
      <c r="AC98" s="30"/>
      <c r="AD98" t="s">
        <v>1934</v>
      </c>
      <c r="AE98" t="s">
        <v>1538</v>
      </c>
      <c r="AF98" t="s">
        <v>1538</v>
      </c>
      <c r="AG98" t="s">
        <v>1538</v>
      </c>
      <c r="AH98" t="s">
        <v>1538</v>
      </c>
      <c r="AI98" t="s">
        <v>1538</v>
      </c>
      <c r="AJ98" t="s">
        <v>1538</v>
      </c>
      <c r="AK98" t="s">
        <v>1538</v>
      </c>
      <c r="AL98" t="s">
        <v>1538</v>
      </c>
      <c r="AM98" t="s">
        <v>1538</v>
      </c>
      <c r="AN98" t="s">
        <v>1538</v>
      </c>
      <c r="AO98" t="s">
        <v>1538</v>
      </c>
      <c r="AP98" t="s">
        <v>1538</v>
      </c>
      <c r="AQ98" t="s">
        <v>1538</v>
      </c>
      <c r="AR98" t="s">
        <v>1538</v>
      </c>
      <c r="AS98" t="s">
        <v>1538</v>
      </c>
      <c r="AT98" t="s">
        <v>1538</v>
      </c>
      <c r="AU98" t="s">
        <v>1538</v>
      </c>
      <c r="AV98" t="s">
        <v>1538</v>
      </c>
      <c r="AW98" t="s">
        <v>1538</v>
      </c>
      <c r="AX98" t="s">
        <v>1538</v>
      </c>
      <c r="AY98" t="s">
        <v>1538</v>
      </c>
      <c r="AZ98" t="s">
        <v>1538</v>
      </c>
      <c r="BA98" t="s">
        <v>1538</v>
      </c>
      <c r="BB98" t="s">
        <v>1538</v>
      </c>
      <c r="BC98" t="s">
        <v>1538</v>
      </c>
      <c r="BD98" t="s">
        <v>1538</v>
      </c>
      <c r="BE98" t="s">
        <v>1538</v>
      </c>
    </row>
    <row r="99" spans="1:57" ht="24" x14ac:dyDescent="0.25">
      <c r="A99" s="20" t="s">
        <v>1522</v>
      </c>
      <c r="B99">
        <v>1</v>
      </c>
      <c r="C99">
        <v>1</v>
      </c>
      <c r="D99">
        <v>1</v>
      </c>
      <c r="E99">
        <v>1</v>
      </c>
      <c r="F99">
        <v>1</v>
      </c>
      <c r="G99">
        <v>1</v>
      </c>
      <c r="H99">
        <v>1</v>
      </c>
      <c r="I99">
        <v>1</v>
      </c>
      <c r="J99">
        <v>1</v>
      </c>
      <c r="K99">
        <v>1</v>
      </c>
      <c r="L99">
        <v>1</v>
      </c>
      <c r="M99">
        <v>1</v>
      </c>
      <c r="N99" t="s">
        <v>1537</v>
      </c>
      <c r="O99" t="s">
        <v>1537</v>
      </c>
      <c r="P99" t="s">
        <v>1537</v>
      </c>
      <c r="Q99" t="s">
        <v>1537</v>
      </c>
      <c r="R99" t="s">
        <v>1537</v>
      </c>
      <c r="S99" t="s">
        <v>1537</v>
      </c>
      <c r="T99" t="s">
        <v>1537</v>
      </c>
      <c r="U99" t="s">
        <v>1537</v>
      </c>
      <c r="V99" t="s">
        <v>1537</v>
      </c>
      <c r="W99" t="s">
        <v>1537</v>
      </c>
      <c r="X99" t="s">
        <v>1537</v>
      </c>
      <c r="Y99" t="s">
        <v>1537</v>
      </c>
      <c r="Z99" t="s">
        <v>1537</v>
      </c>
      <c r="AA99" t="s">
        <v>1537</v>
      </c>
      <c r="AC99" s="20"/>
      <c r="AD99" t="s">
        <v>1601</v>
      </c>
      <c r="AE99" t="s">
        <v>1538</v>
      </c>
      <c r="AF99" t="s">
        <v>1538</v>
      </c>
      <c r="AG99" t="s">
        <v>1538</v>
      </c>
      <c r="AH99" t="s">
        <v>1538</v>
      </c>
      <c r="AI99" t="s">
        <v>1538</v>
      </c>
      <c r="AJ99" t="s">
        <v>1538</v>
      </c>
      <c r="AK99" t="s">
        <v>1538</v>
      </c>
      <c r="AL99" t="s">
        <v>1538</v>
      </c>
      <c r="AM99" t="s">
        <v>1538</v>
      </c>
      <c r="AN99" t="s">
        <v>1538</v>
      </c>
      <c r="AO99" t="s">
        <v>1538</v>
      </c>
      <c r="AP99" t="s">
        <v>1538</v>
      </c>
      <c r="AQ99" t="s">
        <v>1538</v>
      </c>
      <c r="AR99" t="s">
        <v>1538</v>
      </c>
      <c r="AS99" t="s">
        <v>1538</v>
      </c>
      <c r="AT99" t="s">
        <v>1538</v>
      </c>
      <c r="AU99" t="s">
        <v>1538</v>
      </c>
      <c r="AV99" t="s">
        <v>1538</v>
      </c>
      <c r="AW99" t="s">
        <v>1538</v>
      </c>
      <c r="AX99" t="s">
        <v>1538</v>
      </c>
      <c r="AY99" t="s">
        <v>1538</v>
      </c>
      <c r="AZ99" t="s">
        <v>1538</v>
      </c>
      <c r="BA99" t="s">
        <v>1538</v>
      </c>
      <c r="BB99" t="s">
        <v>1538</v>
      </c>
      <c r="BC99" t="s">
        <v>1538</v>
      </c>
      <c r="BD99" t="s">
        <v>1538</v>
      </c>
      <c r="BE99" t="s">
        <v>1538</v>
      </c>
    </row>
    <row r="100" spans="1:57" ht="24" x14ac:dyDescent="0.25">
      <c r="A100" s="20" t="s">
        <v>1495</v>
      </c>
      <c r="B100" t="s">
        <v>1537</v>
      </c>
      <c r="C100" t="s">
        <v>1537</v>
      </c>
      <c r="D100" t="s">
        <v>1537</v>
      </c>
      <c r="E100" t="s">
        <v>1537</v>
      </c>
      <c r="F100" t="s">
        <v>1537</v>
      </c>
      <c r="G100" t="s">
        <v>1537</v>
      </c>
      <c r="H100" t="s">
        <v>1537</v>
      </c>
      <c r="I100" t="s">
        <v>1537</v>
      </c>
      <c r="J100" t="s">
        <v>1537</v>
      </c>
      <c r="K100" t="s">
        <v>1537</v>
      </c>
      <c r="L100" t="s">
        <v>1537</v>
      </c>
      <c r="M100" t="s">
        <v>1537</v>
      </c>
      <c r="N100" t="s">
        <v>1537</v>
      </c>
      <c r="O100" t="s">
        <v>1537</v>
      </c>
      <c r="P100" t="s">
        <v>1537</v>
      </c>
      <c r="Q100" t="s">
        <v>1537</v>
      </c>
      <c r="R100" t="s">
        <v>1537</v>
      </c>
      <c r="S100" t="s">
        <v>1537</v>
      </c>
      <c r="T100" t="s">
        <v>1537</v>
      </c>
      <c r="U100" t="s">
        <v>1537</v>
      </c>
      <c r="V100" t="s">
        <v>1537</v>
      </c>
      <c r="W100" t="s">
        <v>1537</v>
      </c>
      <c r="X100" t="s">
        <v>1537</v>
      </c>
      <c r="Y100" t="s">
        <v>1537</v>
      </c>
      <c r="Z100" t="s">
        <v>1537</v>
      </c>
      <c r="AA100" t="s">
        <v>1537</v>
      </c>
      <c r="AC100" s="20"/>
      <c r="AD100" t="s">
        <v>1936</v>
      </c>
      <c r="AE100">
        <v>0</v>
      </c>
      <c r="AF100">
        <v>0</v>
      </c>
      <c r="AG100">
        <v>0</v>
      </c>
      <c r="AH100">
        <v>0</v>
      </c>
      <c r="AI100" t="s">
        <v>1537</v>
      </c>
      <c r="AJ100" t="s">
        <v>1537</v>
      </c>
      <c r="AK100" t="s">
        <v>1537</v>
      </c>
      <c r="AL100" t="s">
        <v>1537</v>
      </c>
      <c r="AM100" t="s">
        <v>1537</v>
      </c>
      <c r="AN100" t="s">
        <v>1537</v>
      </c>
      <c r="AO100" t="s">
        <v>1537</v>
      </c>
      <c r="AP100" t="s">
        <v>1537</v>
      </c>
      <c r="AQ100" t="s">
        <v>1537</v>
      </c>
      <c r="AR100" t="s">
        <v>1537</v>
      </c>
      <c r="AS100" t="s">
        <v>1537</v>
      </c>
      <c r="AT100" t="s">
        <v>1537</v>
      </c>
      <c r="AU100" t="s">
        <v>1537</v>
      </c>
      <c r="AV100" t="s">
        <v>1537</v>
      </c>
      <c r="AW100" t="s">
        <v>1537</v>
      </c>
      <c r="AX100" t="s">
        <v>1537</v>
      </c>
      <c r="AY100" t="s">
        <v>1537</v>
      </c>
      <c r="AZ100" t="s">
        <v>1537</v>
      </c>
      <c r="BA100" t="s">
        <v>1537</v>
      </c>
      <c r="BB100" t="s">
        <v>1537</v>
      </c>
      <c r="BC100" t="s">
        <v>1537</v>
      </c>
      <c r="BD100" t="s">
        <v>1537</v>
      </c>
      <c r="BE100" t="s">
        <v>1537</v>
      </c>
    </row>
    <row r="101" spans="1:57" x14ac:dyDescent="0.25">
      <c r="A101" s="20" t="s">
        <v>1515</v>
      </c>
      <c r="B101" t="s">
        <v>1537</v>
      </c>
      <c r="C101" t="s">
        <v>1537</v>
      </c>
      <c r="D101" t="s">
        <v>1537</v>
      </c>
      <c r="E101" t="s">
        <v>1537</v>
      </c>
      <c r="F101" t="s">
        <v>1537</v>
      </c>
      <c r="G101" t="s">
        <v>1537</v>
      </c>
      <c r="H101" t="s">
        <v>1537</v>
      </c>
      <c r="I101" t="s">
        <v>1537</v>
      </c>
      <c r="J101" t="s">
        <v>1537</v>
      </c>
      <c r="K101" t="s">
        <v>1537</v>
      </c>
      <c r="L101" t="s">
        <v>1537</v>
      </c>
      <c r="M101" t="s">
        <v>1537</v>
      </c>
      <c r="N101" t="s">
        <v>1537</v>
      </c>
      <c r="O101" t="s">
        <v>1537</v>
      </c>
      <c r="P101" t="s">
        <v>1537</v>
      </c>
      <c r="Q101" t="s">
        <v>1537</v>
      </c>
      <c r="R101" t="s">
        <v>1537</v>
      </c>
      <c r="S101" t="s">
        <v>1537</v>
      </c>
      <c r="T101" t="s">
        <v>1537</v>
      </c>
      <c r="U101" t="s">
        <v>1537</v>
      </c>
      <c r="V101" t="s">
        <v>1537</v>
      </c>
      <c r="W101" t="s">
        <v>1537</v>
      </c>
      <c r="X101" t="s">
        <v>1537</v>
      </c>
      <c r="Y101" t="s">
        <v>1537</v>
      </c>
      <c r="Z101" t="s">
        <v>1537</v>
      </c>
      <c r="AA101" t="s">
        <v>1537</v>
      </c>
      <c r="AC101" s="20"/>
      <c r="AD101" t="s">
        <v>1532</v>
      </c>
      <c r="AE101">
        <v>1</v>
      </c>
      <c r="AF101">
        <v>1</v>
      </c>
      <c r="AG101">
        <v>1</v>
      </c>
      <c r="AH101">
        <v>1</v>
      </c>
      <c r="AI101">
        <v>1</v>
      </c>
      <c r="AJ101">
        <v>1</v>
      </c>
      <c r="AK101">
        <v>1</v>
      </c>
      <c r="AL101">
        <v>1</v>
      </c>
      <c r="AM101">
        <v>1</v>
      </c>
      <c r="AN101">
        <v>1</v>
      </c>
      <c r="AO101">
        <v>1</v>
      </c>
      <c r="AP101">
        <v>1</v>
      </c>
      <c r="AQ101">
        <v>1</v>
      </c>
      <c r="AR101">
        <v>1</v>
      </c>
      <c r="AS101">
        <v>1</v>
      </c>
      <c r="AT101">
        <v>1</v>
      </c>
      <c r="AU101" t="s">
        <v>1537</v>
      </c>
      <c r="AV101" t="s">
        <v>1537</v>
      </c>
      <c r="AW101" t="s">
        <v>1537</v>
      </c>
      <c r="AX101" t="s">
        <v>1537</v>
      </c>
      <c r="AY101" t="s">
        <v>1537</v>
      </c>
      <c r="AZ101" t="s">
        <v>1537</v>
      </c>
      <c r="BA101" t="s">
        <v>1537</v>
      </c>
      <c r="BB101" t="s">
        <v>1537</v>
      </c>
      <c r="BC101" t="s">
        <v>1537</v>
      </c>
      <c r="BD101" t="s">
        <v>1537</v>
      </c>
      <c r="BE101" t="s">
        <v>1537</v>
      </c>
    </row>
    <row r="102" spans="1:57" x14ac:dyDescent="0.25">
      <c r="A102" s="30" t="s">
        <v>1523</v>
      </c>
      <c r="B102" t="s">
        <v>1537</v>
      </c>
      <c r="C102" t="s">
        <v>1537</v>
      </c>
      <c r="D102" t="s">
        <v>1537</v>
      </c>
      <c r="E102" t="s">
        <v>1537</v>
      </c>
      <c r="F102" t="s">
        <v>1537</v>
      </c>
      <c r="G102" t="s">
        <v>1537</v>
      </c>
      <c r="H102" t="s">
        <v>1537</v>
      </c>
      <c r="I102" t="s">
        <v>1537</v>
      </c>
      <c r="J102" t="s">
        <v>1537</v>
      </c>
      <c r="K102" t="s">
        <v>1537</v>
      </c>
      <c r="L102" t="s">
        <v>1537</v>
      </c>
      <c r="M102" t="s">
        <v>1537</v>
      </c>
      <c r="N102" t="s">
        <v>1537</v>
      </c>
      <c r="O102" t="s">
        <v>1537</v>
      </c>
      <c r="P102" t="s">
        <v>1537</v>
      </c>
      <c r="Q102" t="s">
        <v>1537</v>
      </c>
      <c r="R102" t="s">
        <v>1537</v>
      </c>
      <c r="S102" t="s">
        <v>1537</v>
      </c>
      <c r="T102" t="s">
        <v>1537</v>
      </c>
      <c r="U102" t="s">
        <v>1537</v>
      </c>
      <c r="V102" t="s">
        <v>1537</v>
      </c>
      <c r="W102" t="s">
        <v>1537</v>
      </c>
      <c r="X102" t="s">
        <v>1537</v>
      </c>
      <c r="Y102" t="s">
        <v>1537</v>
      </c>
      <c r="Z102" t="s">
        <v>1537</v>
      </c>
      <c r="AA102" t="s">
        <v>1537</v>
      </c>
      <c r="AC102" s="30"/>
      <c r="AD102" t="s">
        <v>284</v>
      </c>
      <c r="AE102">
        <v>1</v>
      </c>
      <c r="AF102">
        <v>1</v>
      </c>
      <c r="AG102">
        <v>1</v>
      </c>
      <c r="AH102">
        <v>1</v>
      </c>
      <c r="AI102">
        <v>1</v>
      </c>
      <c r="AJ102">
        <v>1</v>
      </c>
      <c r="AK102">
        <v>1</v>
      </c>
      <c r="AL102">
        <v>1</v>
      </c>
      <c r="AM102">
        <v>1</v>
      </c>
      <c r="AN102">
        <v>1</v>
      </c>
      <c r="AO102">
        <v>1</v>
      </c>
      <c r="AP102">
        <v>1</v>
      </c>
      <c r="AQ102" t="s">
        <v>1537</v>
      </c>
      <c r="AR102" t="s">
        <v>1537</v>
      </c>
      <c r="AS102" t="s">
        <v>1537</v>
      </c>
      <c r="AT102" t="s">
        <v>1537</v>
      </c>
      <c r="AU102" t="s">
        <v>1537</v>
      </c>
      <c r="AV102" t="s">
        <v>1537</v>
      </c>
      <c r="AW102" t="s">
        <v>1537</v>
      </c>
      <c r="AX102" t="s">
        <v>1537</v>
      </c>
      <c r="AY102" t="s">
        <v>1537</v>
      </c>
      <c r="AZ102" t="s">
        <v>1537</v>
      </c>
      <c r="BA102" t="s">
        <v>1537</v>
      </c>
      <c r="BB102" t="s">
        <v>1537</v>
      </c>
      <c r="BC102" t="s">
        <v>1537</v>
      </c>
      <c r="BD102" t="s">
        <v>1537</v>
      </c>
      <c r="BE102" t="s">
        <v>1537</v>
      </c>
    </row>
    <row r="103" spans="1:57" x14ac:dyDescent="0.25">
      <c r="A103" s="21" t="s">
        <v>1515</v>
      </c>
      <c r="B103" t="s">
        <v>1537</v>
      </c>
      <c r="C103" t="s">
        <v>1537</v>
      </c>
      <c r="D103" t="s">
        <v>1537</v>
      </c>
      <c r="E103" t="s">
        <v>1537</v>
      </c>
      <c r="F103" t="s">
        <v>1537</v>
      </c>
      <c r="G103" t="s">
        <v>1537</v>
      </c>
      <c r="H103" t="s">
        <v>1537</v>
      </c>
      <c r="I103" t="s">
        <v>1537</v>
      </c>
      <c r="J103" t="s">
        <v>1537</v>
      </c>
      <c r="K103" t="s">
        <v>1537</v>
      </c>
      <c r="L103" t="s">
        <v>1537</v>
      </c>
      <c r="M103" t="s">
        <v>1537</v>
      </c>
      <c r="N103" t="s">
        <v>1537</v>
      </c>
      <c r="O103" t="s">
        <v>1537</v>
      </c>
      <c r="P103" t="s">
        <v>1537</v>
      </c>
      <c r="Q103" t="s">
        <v>1537</v>
      </c>
      <c r="R103" t="s">
        <v>1537</v>
      </c>
      <c r="S103" t="s">
        <v>1537</v>
      </c>
      <c r="T103" t="s">
        <v>1537</v>
      </c>
      <c r="U103" t="s">
        <v>1537</v>
      </c>
      <c r="V103" t="s">
        <v>1537</v>
      </c>
      <c r="W103" t="s">
        <v>1537</v>
      </c>
      <c r="X103" t="s">
        <v>1537</v>
      </c>
      <c r="Y103" t="s">
        <v>1537</v>
      </c>
      <c r="Z103" t="s">
        <v>1537</v>
      </c>
      <c r="AA103" t="s">
        <v>1537</v>
      </c>
      <c r="AC103" s="21"/>
      <c r="AD103" t="s">
        <v>280</v>
      </c>
      <c r="AE103" t="s">
        <v>1537</v>
      </c>
      <c r="AF103" t="s">
        <v>1537</v>
      </c>
      <c r="AG103" t="s">
        <v>1537</v>
      </c>
      <c r="AH103" t="s">
        <v>1537</v>
      </c>
      <c r="AI103" t="s">
        <v>1537</v>
      </c>
      <c r="AJ103" t="s">
        <v>1537</v>
      </c>
      <c r="AK103" t="s">
        <v>1537</v>
      </c>
      <c r="AL103" t="s">
        <v>1537</v>
      </c>
      <c r="AM103" t="s">
        <v>1537</v>
      </c>
      <c r="AN103" t="s">
        <v>1537</v>
      </c>
      <c r="AO103" t="s">
        <v>1537</v>
      </c>
      <c r="AP103" t="s">
        <v>1537</v>
      </c>
      <c r="AQ103" t="s">
        <v>1537</v>
      </c>
      <c r="AR103" t="s">
        <v>1537</v>
      </c>
      <c r="AS103" t="s">
        <v>1537</v>
      </c>
      <c r="AT103" t="s">
        <v>1537</v>
      </c>
      <c r="AU103" t="s">
        <v>1537</v>
      </c>
      <c r="AV103" t="s">
        <v>1537</v>
      </c>
      <c r="AW103" t="s">
        <v>1537</v>
      </c>
      <c r="AX103" t="s">
        <v>1537</v>
      </c>
      <c r="AY103" t="s">
        <v>1537</v>
      </c>
      <c r="AZ103" t="s">
        <v>1537</v>
      </c>
      <c r="BA103" t="s">
        <v>1537</v>
      </c>
      <c r="BB103" t="s">
        <v>1537</v>
      </c>
      <c r="BC103" t="s">
        <v>1537</v>
      </c>
      <c r="BD103" t="s">
        <v>1537</v>
      </c>
      <c r="BE103" t="s">
        <v>1537</v>
      </c>
    </row>
    <row r="104" spans="1:57" x14ac:dyDescent="0.25">
      <c r="AD104" t="s">
        <v>1934</v>
      </c>
      <c r="AE104" t="s">
        <v>1537</v>
      </c>
      <c r="AF104" t="s">
        <v>1537</v>
      </c>
      <c r="AG104" t="s">
        <v>1537</v>
      </c>
      <c r="AH104" t="s">
        <v>1537</v>
      </c>
      <c r="AI104" t="s">
        <v>1537</v>
      </c>
      <c r="AJ104" t="s">
        <v>1537</v>
      </c>
      <c r="AK104" t="s">
        <v>1537</v>
      </c>
      <c r="AL104" t="s">
        <v>1537</v>
      </c>
      <c r="AM104" t="s">
        <v>1537</v>
      </c>
      <c r="AN104" t="s">
        <v>1537</v>
      </c>
      <c r="AO104" t="s">
        <v>1537</v>
      </c>
      <c r="AP104" t="s">
        <v>1537</v>
      </c>
      <c r="AQ104" t="s">
        <v>1537</v>
      </c>
      <c r="AR104" t="s">
        <v>1537</v>
      </c>
      <c r="AS104" t="s">
        <v>1537</v>
      </c>
      <c r="AT104" t="s">
        <v>1537</v>
      </c>
      <c r="AU104" t="s">
        <v>1537</v>
      </c>
      <c r="AV104" t="s">
        <v>1537</v>
      </c>
      <c r="AW104" t="s">
        <v>1537</v>
      </c>
      <c r="AX104" t="s">
        <v>1537</v>
      </c>
      <c r="AY104" t="s">
        <v>1537</v>
      </c>
      <c r="AZ104" t="s">
        <v>1537</v>
      </c>
      <c r="BA104" t="s">
        <v>1537</v>
      </c>
      <c r="BB104" t="s">
        <v>1537</v>
      </c>
      <c r="BC104" t="s">
        <v>1537</v>
      </c>
      <c r="BD104" t="s">
        <v>1537</v>
      </c>
      <c r="BE104" t="s">
        <v>1537</v>
      </c>
    </row>
    <row r="105" spans="1:57" x14ac:dyDescent="0.25">
      <c r="A105" s="55" t="s">
        <v>1536</v>
      </c>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D105" t="s">
        <v>1533</v>
      </c>
      <c r="AE105" t="s">
        <v>1537</v>
      </c>
      <c r="AF105" t="s">
        <v>1537</v>
      </c>
      <c r="AG105" t="s">
        <v>1537</v>
      </c>
      <c r="AH105" t="s">
        <v>1537</v>
      </c>
      <c r="AI105" t="s">
        <v>1537</v>
      </c>
      <c r="AJ105" t="s">
        <v>1537</v>
      </c>
      <c r="AK105" t="s">
        <v>1537</v>
      </c>
      <c r="AL105" t="s">
        <v>1537</v>
      </c>
      <c r="AM105" t="s">
        <v>1537</v>
      </c>
      <c r="AN105" t="s">
        <v>1537</v>
      </c>
      <c r="AO105" t="s">
        <v>1537</v>
      </c>
      <c r="AP105" t="s">
        <v>1537</v>
      </c>
      <c r="AQ105" t="s">
        <v>1537</v>
      </c>
      <c r="AR105" t="s">
        <v>1537</v>
      </c>
      <c r="AS105" t="s">
        <v>1537</v>
      </c>
      <c r="AT105" t="s">
        <v>1537</v>
      </c>
      <c r="AU105" t="s">
        <v>1537</v>
      </c>
      <c r="AV105" t="s">
        <v>1537</v>
      </c>
      <c r="AW105" t="s">
        <v>1537</v>
      </c>
      <c r="AX105" t="s">
        <v>1537</v>
      </c>
      <c r="AY105" t="s">
        <v>1537</v>
      </c>
      <c r="AZ105" t="s">
        <v>1537</v>
      </c>
      <c r="BA105" t="s">
        <v>1537</v>
      </c>
      <c r="BB105" t="s">
        <v>1537</v>
      </c>
      <c r="BC105" t="s">
        <v>1537</v>
      </c>
      <c r="BD105" t="s">
        <v>1537</v>
      </c>
      <c r="BE105" t="s">
        <v>1537</v>
      </c>
    </row>
    <row r="106" spans="1:57" x14ac:dyDescent="0.25">
      <c r="A106" s="29" t="s">
        <v>1462</v>
      </c>
      <c r="B106" s="29"/>
      <c r="C106" s="29"/>
      <c r="D106" s="29"/>
      <c r="E106" s="29"/>
      <c r="F106" s="29"/>
      <c r="G106" s="29"/>
      <c r="H106" s="29"/>
      <c r="I106" s="29"/>
      <c r="J106" s="29"/>
      <c r="AD106" t="s">
        <v>1934</v>
      </c>
      <c r="AE106" t="s">
        <v>1537</v>
      </c>
      <c r="AF106" t="s">
        <v>1537</v>
      </c>
      <c r="AG106" t="s">
        <v>1537</v>
      </c>
      <c r="AH106" t="s">
        <v>1537</v>
      </c>
      <c r="AI106" t="s">
        <v>1537</v>
      </c>
      <c r="AJ106" t="s">
        <v>1537</v>
      </c>
      <c r="AK106" t="s">
        <v>1537</v>
      </c>
      <c r="AL106" t="s">
        <v>1537</v>
      </c>
      <c r="AM106" t="s">
        <v>1537</v>
      </c>
      <c r="AN106" t="s">
        <v>1537</v>
      </c>
      <c r="AO106" t="s">
        <v>1537</v>
      </c>
      <c r="AP106" t="s">
        <v>1537</v>
      </c>
      <c r="AQ106" t="s">
        <v>1537</v>
      </c>
      <c r="AR106" t="s">
        <v>1537</v>
      </c>
      <c r="AS106" t="s">
        <v>1537</v>
      </c>
      <c r="AT106" t="s">
        <v>1537</v>
      </c>
      <c r="AU106" t="s">
        <v>1537</v>
      </c>
      <c r="AV106" t="s">
        <v>1537</v>
      </c>
      <c r="AW106" t="s">
        <v>1537</v>
      </c>
      <c r="AX106" t="s">
        <v>1537</v>
      </c>
      <c r="AY106" t="s">
        <v>1537</v>
      </c>
      <c r="AZ106" t="s">
        <v>1537</v>
      </c>
      <c r="BA106" t="s">
        <v>1537</v>
      </c>
      <c r="BB106" t="s">
        <v>1537</v>
      </c>
      <c r="BC106" t="s">
        <v>1537</v>
      </c>
      <c r="BD106" t="s">
        <v>1537</v>
      </c>
      <c r="BE106" t="s">
        <v>1537</v>
      </c>
    </row>
    <row r="107" spans="1:57" x14ac:dyDescent="0.25">
      <c r="A107" s="22" t="s">
        <v>1463</v>
      </c>
      <c r="B107">
        <v>1990</v>
      </c>
      <c r="C107">
        <v>1991</v>
      </c>
      <c r="D107">
        <v>1992</v>
      </c>
      <c r="E107">
        <v>1993</v>
      </c>
      <c r="F107">
        <v>1994</v>
      </c>
      <c r="G107">
        <v>1995</v>
      </c>
      <c r="H107">
        <v>1996</v>
      </c>
      <c r="I107">
        <v>1997</v>
      </c>
      <c r="J107">
        <v>1998</v>
      </c>
      <c r="K107">
        <v>1999</v>
      </c>
      <c r="L107">
        <v>2000</v>
      </c>
      <c r="M107">
        <v>2001</v>
      </c>
      <c r="N107">
        <v>2002</v>
      </c>
      <c r="O107">
        <v>2003</v>
      </c>
      <c r="P107">
        <v>2004</v>
      </c>
      <c r="Q107">
        <v>2005</v>
      </c>
      <c r="R107">
        <v>2006</v>
      </c>
      <c r="S107">
        <v>2007</v>
      </c>
      <c r="T107">
        <v>2008</v>
      </c>
      <c r="U107">
        <v>2009</v>
      </c>
      <c r="V107">
        <v>2010</v>
      </c>
      <c r="W107">
        <v>2011</v>
      </c>
      <c r="X107">
        <v>2012</v>
      </c>
      <c r="Y107">
        <v>2013</v>
      </c>
      <c r="Z107">
        <v>2014</v>
      </c>
      <c r="AA107">
        <v>2015</v>
      </c>
    </row>
    <row r="108" spans="1:57" x14ac:dyDescent="0.25">
      <c r="A108" s="105" t="s">
        <v>1464</v>
      </c>
      <c r="B108">
        <v>5123</v>
      </c>
      <c r="C108">
        <v>5073.5</v>
      </c>
      <c r="D108">
        <v>5178.6000000000004</v>
      </c>
      <c r="E108">
        <v>5292.6</v>
      </c>
      <c r="F108">
        <v>5385.9</v>
      </c>
      <c r="G108">
        <v>5450.3</v>
      </c>
      <c r="H108">
        <v>5636.3</v>
      </c>
      <c r="I108">
        <v>5713.4</v>
      </c>
      <c r="J108">
        <v>5753.8</v>
      </c>
      <c r="K108">
        <v>5834.2</v>
      </c>
      <c r="L108">
        <v>6001.4</v>
      </c>
      <c r="M108">
        <v>5902.7</v>
      </c>
      <c r="N108">
        <v>5943.9</v>
      </c>
      <c r="O108">
        <v>5990.7</v>
      </c>
      <c r="P108">
        <v>6105.4</v>
      </c>
      <c r="Q108">
        <v>6131.8</v>
      </c>
      <c r="R108">
        <v>6051.5</v>
      </c>
      <c r="S108">
        <v>6130.6</v>
      </c>
      <c r="T108">
        <v>5933</v>
      </c>
      <c r="U108">
        <v>5495.7</v>
      </c>
      <c r="V108">
        <v>5699.9</v>
      </c>
      <c r="W108">
        <v>5569.5</v>
      </c>
      <c r="X108">
        <v>5362.1</v>
      </c>
      <c r="Y108">
        <v>5514</v>
      </c>
      <c r="Z108">
        <v>5565.5</v>
      </c>
      <c r="AA108">
        <v>5411.4</v>
      </c>
    </row>
    <row r="109" spans="1:57" x14ac:dyDescent="0.25">
      <c r="A109" s="20" t="s">
        <v>1465</v>
      </c>
      <c r="B109">
        <v>4740.3</v>
      </c>
      <c r="C109">
        <v>4690.1000000000004</v>
      </c>
      <c r="D109">
        <v>4793.1000000000004</v>
      </c>
      <c r="E109">
        <v>4915.1000000000004</v>
      </c>
      <c r="F109">
        <v>4990</v>
      </c>
      <c r="G109">
        <v>5041</v>
      </c>
      <c r="H109">
        <v>5232.3999999999996</v>
      </c>
      <c r="I109">
        <v>5296.7</v>
      </c>
      <c r="J109">
        <v>5333.5</v>
      </c>
      <c r="K109">
        <v>5400.8</v>
      </c>
      <c r="L109">
        <v>5593.7</v>
      </c>
      <c r="M109">
        <v>5525</v>
      </c>
      <c r="N109">
        <v>5560.6</v>
      </c>
      <c r="O109">
        <v>5619.8</v>
      </c>
      <c r="P109">
        <v>5709.1</v>
      </c>
      <c r="Q109">
        <v>5746.9</v>
      </c>
      <c r="R109">
        <v>5660.3</v>
      </c>
      <c r="S109">
        <v>5753</v>
      </c>
      <c r="T109">
        <v>5566.6</v>
      </c>
      <c r="U109">
        <v>5193.2</v>
      </c>
      <c r="V109">
        <v>5359.4</v>
      </c>
      <c r="W109">
        <v>5227.1000000000004</v>
      </c>
      <c r="X109">
        <v>5024.6000000000004</v>
      </c>
      <c r="Y109">
        <v>5156.5</v>
      </c>
      <c r="Z109">
        <v>5202.3</v>
      </c>
      <c r="AA109">
        <v>5049.8</v>
      </c>
      <c r="AC109" t="s">
        <v>1937</v>
      </c>
    </row>
    <row r="110" spans="1:57" x14ac:dyDescent="0.25">
      <c r="A110" s="330" t="s">
        <v>1466</v>
      </c>
      <c r="B110">
        <v>1820.8</v>
      </c>
      <c r="C110">
        <v>1818.2</v>
      </c>
      <c r="D110">
        <v>1831.5</v>
      </c>
      <c r="E110">
        <v>1906.9</v>
      </c>
      <c r="F110">
        <v>1931.2</v>
      </c>
      <c r="G110">
        <v>1947.9</v>
      </c>
      <c r="H110">
        <v>2021</v>
      </c>
      <c r="I110">
        <v>2088.4</v>
      </c>
      <c r="J110">
        <v>2177.4</v>
      </c>
      <c r="K110">
        <v>2190.5</v>
      </c>
      <c r="L110">
        <v>2296.9</v>
      </c>
      <c r="M110">
        <v>2257.9</v>
      </c>
      <c r="N110">
        <v>2272.6999999999998</v>
      </c>
      <c r="O110">
        <v>2304.1999999999998</v>
      </c>
      <c r="P110">
        <v>2335.9</v>
      </c>
      <c r="Q110">
        <v>2400.9</v>
      </c>
      <c r="R110">
        <v>2345.3000000000002</v>
      </c>
      <c r="S110">
        <v>2411.9</v>
      </c>
      <c r="T110">
        <v>2360.1</v>
      </c>
      <c r="U110">
        <v>2145.6999999999998</v>
      </c>
      <c r="V110">
        <v>2258.4</v>
      </c>
      <c r="W110">
        <v>2157.6999999999998</v>
      </c>
      <c r="X110">
        <v>2022.2</v>
      </c>
      <c r="Y110">
        <v>2038.1</v>
      </c>
      <c r="Z110">
        <v>2038</v>
      </c>
      <c r="AA110">
        <v>1900.7</v>
      </c>
    </row>
    <row r="111" spans="1:57" x14ac:dyDescent="0.25">
      <c r="A111" s="30" t="s">
        <v>1467</v>
      </c>
      <c r="B111">
        <v>1493.8</v>
      </c>
      <c r="C111">
        <v>1447.6</v>
      </c>
      <c r="D111">
        <v>1496.9</v>
      </c>
      <c r="E111">
        <v>1532.4</v>
      </c>
      <c r="F111">
        <v>1577</v>
      </c>
      <c r="G111">
        <v>1609.9</v>
      </c>
      <c r="H111">
        <v>1654.3</v>
      </c>
      <c r="I111">
        <v>1670.1</v>
      </c>
      <c r="J111">
        <v>1706.6</v>
      </c>
      <c r="K111">
        <v>1761.1</v>
      </c>
      <c r="L111">
        <v>1805.5</v>
      </c>
      <c r="M111">
        <v>1789.4</v>
      </c>
      <c r="N111">
        <v>1830.6</v>
      </c>
      <c r="O111">
        <v>1822.3</v>
      </c>
      <c r="P111">
        <v>1867.1</v>
      </c>
      <c r="Q111">
        <v>1887</v>
      </c>
      <c r="R111">
        <v>1882.6</v>
      </c>
      <c r="S111">
        <v>1886.1</v>
      </c>
      <c r="T111">
        <v>1791.8</v>
      </c>
      <c r="U111">
        <v>1717</v>
      </c>
      <c r="V111">
        <v>1728.3</v>
      </c>
      <c r="W111">
        <v>1707.6</v>
      </c>
      <c r="X111">
        <v>1696.8</v>
      </c>
      <c r="Y111">
        <v>1713</v>
      </c>
      <c r="Z111">
        <v>1742.8</v>
      </c>
      <c r="AA111">
        <v>1736.4</v>
      </c>
      <c r="AD111" t="s">
        <v>1915</v>
      </c>
      <c r="AE111">
        <v>1990</v>
      </c>
      <c r="AF111">
        <v>1991</v>
      </c>
      <c r="AG111">
        <v>1992</v>
      </c>
      <c r="AH111">
        <v>1993</v>
      </c>
      <c r="AI111">
        <v>1994</v>
      </c>
      <c r="AJ111">
        <v>1995</v>
      </c>
      <c r="AK111">
        <v>1996</v>
      </c>
      <c r="AL111">
        <v>1997</v>
      </c>
      <c r="AM111">
        <v>1998</v>
      </c>
      <c r="AN111">
        <v>1999</v>
      </c>
      <c r="AO111">
        <v>2000</v>
      </c>
      <c r="AP111">
        <v>2001</v>
      </c>
      <c r="AQ111">
        <v>2002</v>
      </c>
      <c r="AR111">
        <v>2003</v>
      </c>
      <c r="AS111">
        <v>2004</v>
      </c>
      <c r="AT111">
        <v>2005</v>
      </c>
      <c r="AU111">
        <v>2006</v>
      </c>
      <c r="AV111">
        <v>2007</v>
      </c>
      <c r="AW111">
        <v>2008</v>
      </c>
      <c r="AX111">
        <v>2009</v>
      </c>
      <c r="AY111">
        <v>2010</v>
      </c>
      <c r="AZ111">
        <v>2011</v>
      </c>
      <c r="BA111">
        <v>2012</v>
      </c>
      <c r="BB111">
        <v>2013</v>
      </c>
      <c r="BC111">
        <v>2014</v>
      </c>
      <c r="BD111">
        <v>2015</v>
      </c>
      <c r="BE111">
        <v>2016</v>
      </c>
    </row>
    <row r="112" spans="1:57" x14ac:dyDescent="0.25">
      <c r="A112" s="30" t="s">
        <v>1468</v>
      </c>
      <c r="B112">
        <v>842.5</v>
      </c>
      <c r="C112">
        <v>822.5</v>
      </c>
      <c r="D112">
        <v>857.4</v>
      </c>
      <c r="E112">
        <v>855.7</v>
      </c>
      <c r="F112">
        <v>864.8</v>
      </c>
      <c r="G112">
        <v>870.5</v>
      </c>
      <c r="H112">
        <v>907.4</v>
      </c>
      <c r="I112">
        <v>906.8</v>
      </c>
      <c r="J112">
        <v>869.1</v>
      </c>
      <c r="K112">
        <v>845.9</v>
      </c>
      <c r="L112">
        <v>854.1</v>
      </c>
      <c r="M112">
        <v>843</v>
      </c>
      <c r="N112">
        <v>829.8</v>
      </c>
      <c r="O112">
        <v>829.6</v>
      </c>
      <c r="P112">
        <v>852.3</v>
      </c>
      <c r="Q112">
        <v>828</v>
      </c>
      <c r="R112">
        <v>852.6</v>
      </c>
      <c r="S112">
        <v>847.9</v>
      </c>
      <c r="T112">
        <v>802.8</v>
      </c>
      <c r="U112">
        <v>727.7</v>
      </c>
      <c r="V112">
        <v>775.5</v>
      </c>
      <c r="W112">
        <v>775</v>
      </c>
      <c r="X112">
        <v>782.9</v>
      </c>
      <c r="Y112">
        <v>812.2</v>
      </c>
      <c r="Z112">
        <v>806.1</v>
      </c>
      <c r="AA112">
        <v>805.5</v>
      </c>
      <c r="AD112" t="s">
        <v>865</v>
      </c>
      <c r="AE112">
        <v>5121.3</v>
      </c>
      <c r="AF112">
        <v>5070.8</v>
      </c>
      <c r="AG112">
        <v>5174.1000000000004</v>
      </c>
      <c r="AH112">
        <v>5284.7</v>
      </c>
      <c r="AI112">
        <v>5378</v>
      </c>
      <c r="AJ112">
        <v>5439.2</v>
      </c>
      <c r="AK112">
        <v>5626.2</v>
      </c>
      <c r="AL112">
        <v>5703.9</v>
      </c>
      <c r="AM112">
        <v>5752.3</v>
      </c>
      <c r="AN112">
        <v>5832.3</v>
      </c>
      <c r="AO112">
        <v>6000.6</v>
      </c>
      <c r="AP112">
        <v>5902.5</v>
      </c>
      <c r="AQ112">
        <v>5943.7</v>
      </c>
      <c r="AR112">
        <v>5991.3</v>
      </c>
      <c r="AS112">
        <v>6106.6</v>
      </c>
      <c r="AT112">
        <v>6132</v>
      </c>
      <c r="AU112">
        <v>6052.2</v>
      </c>
      <c r="AV112">
        <v>6131</v>
      </c>
      <c r="AW112">
        <v>5932.8</v>
      </c>
      <c r="AX112">
        <v>5495.4</v>
      </c>
      <c r="AY112">
        <v>5701.1</v>
      </c>
      <c r="AZ112">
        <v>5570.7</v>
      </c>
      <c r="BA112">
        <v>5366.7</v>
      </c>
      <c r="BB112">
        <v>5519.6</v>
      </c>
      <c r="BC112">
        <v>5568.8</v>
      </c>
      <c r="BD112">
        <v>5420.8</v>
      </c>
      <c r="BE112">
        <v>5310.9</v>
      </c>
    </row>
    <row r="113" spans="1:57" x14ac:dyDescent="0.25">
      <c r="A113" s="330" t="s">
        <v>1469</v>
      </c>
      <c r="B113">
        <v>338.3</v>
      </c>
      <c r="C113">
        <v>347.2</v>
      </c>
      <c r="D113">
        <v>353.5</v>
      </c>
      <c r="E113">
        <v>365.8</v>
      </c>
      <c r="F113">
        <v>356.8</v>
      </c>
      <c r="G113">
        <v>352.8</v>
      </c>
      <c r="H113">
        <v>383.1</v>
      </c>
      <c r="I113">
        <v>364.7</v>
      </c>
      <c r="J113">
        <v>331.2</v>
      </c>
      <c r="K113">
        <v>350.6</v>
      </c>
      <c r="L113">
        <v>370.8</v>
      </c>
      <c r="M113">
        <v>362.2</v>
      </c>
      <c r="N113">
        <v>360</v>
      </c>
      <c r="O113">
        <v>378.9</v>
      </c>
      <c r="P113">
        <v>367.4</v>
      </c>
      <c r="Q113">
        <v>357.8</v>
      </c>
      <c r="R113">
        <v>321.3</v>
      </c>
      <c r="S113">
        <v>341.3</v>
      </c>
      <c r="T113">
        <v>347.6</v>
      </c>
      <c r="U113">
        <v>336.3</v>
      </c>
      <c r="V113">
        <v>334.6</v>
      </c>
      <c r="W113">
        <v>325.5</v>
      </c>
      <c r="X113">
        <v>282.5</v>
      </c>
      <c r="Y113">
        <v>329.7</v>
      </c>
      <c r="Z113">
        <v>345.4</v>
      </c>
      <c r="AA113">
        <v>319.60000000000002</v>
      </c>
      <c r="AD113" t="s">
        <v>1916</v>
      </c>
      <c r="AE113">
        <v>4740.3</v>
      </c>
      <c r="AF113">
        <v>4690.1000000000004</v>
      </c>
      <c r="AG113">
        <v>4793.1000000000004</v>
      </c>
      <c r="AH113">
        <v>4915.1000000000004</v>
      </c>
      <c r="AI113">
        <v>4990</v>
      </c>
      <c r="AJ113">
        <v>5041</v>
      </c>
      <c r="AK113">
        <v>5232.3999999999996</v>
      </c>
      <c r="AL113">
        <v>5296.7</v>
      </c>
      <c r="AM113">
        <v>5333.5</v>
      </c>
      <c r="AN113">
        <v>5400.8</v>
      </c>
      <c r="AO113">
        <v>5593.7</v>
      </c>
      <c r="AP113">
        <v>5525</v>
      </c>
      <c r="AQ113">
        <v>5560.6</v>
      </c>
      <c r="AR113">
        <v>5619.8</v>
      </c>
      <c r="AS113">
        <v>5709.1</v>
      </c>
      <c r="AT113">
        <v>5746.9</v>
      </c>
      <c r="AU113">
        <v>5660.3</v>
      </c>
      <c r="AV113">
        <v>5753</v>
      </c>
      <c r="AW113">
        <v>5566.6</v>
      </c>
      <c r="AX113">
        <v>5193.2</v>
      </c>
      <c r="AY113">
        <v>5359.3</v>
      </c>
      <c r="AZ113">
        <v>5227.3999999999996</v>
      </c>
      <c r="BA113">
        <v>5024.3999999999996</v>
      </c>
      <c r="BB113">
        <v>5156.8999999999996</v>
      </c>
      <c r="BC113">
        <v>5200.3</v>
      </c>
      <c r="BD113">
        <v>5049.3</v>
      </c>
      <c r="BE113">
        <v>4966</v>
      </c>
    </row>
    <row r="114" spans="1:57" x14ac:dyDescent="0.25">
      <c r="A114" s="30" t="s">
        <v>1470</v>
      </c>
      <c r="B114">
        <v>217.4</v>
      </c>
      <c r="C114">
        <v>223.3</v>
      </c>
      <c r="D114">
        <v>220.6</v>
      </c>
      <c r="E114">
        <v>220.1</v>
      </c>
      <c r="F114">
        <v>222.4</v>
      </c>
      <c r="G114">
        <v>225.6</v>
      </c>
      <c r="H114">
        <v>234.5</v>
      </c>
      <c r="I114">
        <v>233.6</v>
      </c>
      <c r="J114">
        <v>215.9</v>
      </c>
      <c r="K114">
        <v>218.8</v>
      </c>
      <c r="L114">
        <v>230.9</v>
      </c>
      <c r="M114">
        <v>225</v>
      </c>
      <c r="N114">
        <v>225</v>
      </c>
      <c r="O114">
        <v>235.2</v>
      </c>
      <c r="P114">
        <v>234.2</v>
      </c>
      <c r="Q114">
        <v>223.5</v>
      </c>
      <c r="R114">
        <v>208.6</v>
      </c>
      <c r="S114">
        <v>218.8</v>
      </c>
      <c r="T114">
        <v>223.6</v>
      </c>
      <c r="U114">
        <v>223.5</v>
      </c>
      <c r="V114">
        <v>220.1</v>
      </c>
      <c r="W114">
        <v>220.4</v>
      </c>
      <c r="X114">
        <v>196.7</v>
      </c>
      <c r="Y114">
        <v>221</v>
      </c>
      <c r="Z114">
        <v>228.7</v>
      </c>
      <c r="AA114">
        <v>246.2</v>
      </c>
      <c r="AD114" t="s">
        <v>1938</v>
      </c>
      <c r="AE114">
        <v>1820.8</v>
      </c>
      <c r="AF114">
        <v>1818.2</v>
      </c>
      <c r="AG114">
        <v>1831.5</v>
      </c>
      <c r="AH114">
        <v>1906.9</v>
      </c>
      <c r="AI114">
        <v>1931.2</v>
      </c>
      <c r="AJ114">
        <v>1947.9</v>
      </c>
      <c r="AK114">
        <v>2021</v>
      </c>
      <c r="AL114">
        <v>2088.4</v>
      </c>
      <c r="AM114">
        <v>2177.4</v>
      </c>
      <c r="AN114">
        <v>2190.5</v>
      </c>
      <c r="AO114">
        <v>2296.9</v>
      </c>
      <c r="AP114">
        <v>2257.9</v>
      </c>
      <c r="AQ114">
        <v>2272.6999999999998</v>
      </c>
      <c r="AR114">
        <v>2304.1999999999998</v>
      </c>
      <c r="AS114">
        <v>2335.9</v>
      </c>
      <c r="AT114">
        <v>2400.9</v>
      </c>
      <c r="AU114">
        <v>2345.3000000000002</v>
      </c>
      <c r="AV114">
        <v>2411.9</v>
      </c>
      <c r="AW114">
        <v>2360.1</v>
      </c>
      <c r="AX114">
        <v>2145.6999999999998</v>
      </c>
      <c r="AY114">
        <v>2258.4</v>
      </c>
      <c r="AZ114">
        <v>2157.6999999999998</v>
      </c>
      <c r="BA114">
        <v>2022.2</v>
      </c>
      <c r="BB114">
        <v>2038.1</v>
      </c>
      <c r="BC114">
        <v>2038</v>
      </c>
      <c r="BD114">
        <v>1900.7</v>
      </c>
      <c r="BE114">
        <v>1809.3</v>
      </c>
    </row>
    <row r="115" spans="1:57" x14ac:dyDescent="0.25">
      <c r="A115" s="330" t="s">
        <v>1471</v>
      </c>
      <c r="B115">
        <v>27.6</v>
      </c>
      <c r="C115">
        <v>31.4</v>
      </c>
      <c r="D115">
        <v>33.1</v>
      </c>
      <c r="E115">
        <v>34.200000000000003</v>
      </c>
      <c r="F115">
        <v>37.799999999999997</v>
      </c>
      <c r="G115">
        <v>34.299999999999997</v>
      </c>
      <c r="H115">
        <v>32.1</v>
      </c>
      <c r="I115">
        <v>33</v>
      </c>
      <c r="J115">
        <v>33.200000000000003</v>
      </c>
      <c r="K115">
        <v>34</v>
      </c>
      <c r="L115">
        <v>35.6</v>
      </c>
      <c r="M115">
        <v>47.5</v>
      </c>
      <c r="N115">
        <v>42.5</v>
      </c>
      <c r="O115">
        <v>49.6</v>
      </c>
      <c r="P115">
        <v>52</v>
      </c>
      <c r="Q115">
        <v>49.7</v>
      </c>
      <c r="R115">
        <v>49.9</v>
      </c>
      <c r="S115">
        <v>47.1</v>
      </c>
      <c r="T115">
        <v>40.700000000000003</v>
      </c>
      <c r="U115">
        <v>43.1</v>
      </c>
      <c r="V115">
        <v>42.4</v>
      </c>
      <c r="W115">
        <v>40.9</v>
      </c>
      <c r="X115">
        <v>43.5</v>
      </c>
      <c r="Y115">
        <v>42.5</v>
      </c>
      <c r="Z115">
        <v>41.4</v>
      </c>
      <c r="AA115">
        <v>41.4</v>
      </c>
      <c r="AD115" t="s">
        <v>296</v>
      </c>
      <c r="AE115">
        <v>1467.6</v>
      </c>
      <c r="AF115">
        <v>1420.9</v>
      </c>
      <c r="AG115">
        <v>1476.3</v>
      </c>
      <c r="AH115">
        <v>1510.2</v>
      </c>
      <c r="AI115">
        <v>1555.7</v>
      </c>
      <c r="AJ115">
        <v>1581.9</v>
      </c>
      <c r="AK115">
        <v>1627.3</v>
      </c>
      <c r="AL115">
        <v>1644.2</v>
      </c>
      <c r="AM115">
        <v>1680</v>
      </c>
      <c r="AN115">
        <v>1747.4</v>
      </c>
      <c r="AO115">
        <v>1780.7</v>
      </c>
      <c r="AP115">
        <v>1760.1</v>
      </c>
      <c r="AQ115">
        <v>1800.8</v>
      </c>
      <c r="AR115">
        <v>1791.9</v>
      </c>
      <c r="AS115">
        <v>1836.3</v>
      </c>
      <c r="AT115">
        <v>1855.8</v>
      </c>
      <c r="AU115">
        <v>1850.7</v>
      </c>
      <c r="AV115">
        <v>1853.6</v>
      </c>
      <c r="AW115">
        <v>1759.1</v>
      </c>
      <c r="AX115">
        <v>1683.7</v>
      </c>
      <c r="AY115">
        <v>1694.5</v>
      </c>
      <c r="AZ115">
        <v>1673.3</v>
      </c>
      <c r="BA115">
        <v>1661.9</v>
      </c>
      <c r="BB115">
        <v>1677.6</v>
      </c>
      <c r="BC115">
        <v>1717.1</v>
      </c>
      <c r="BD115">
        <v>1735.5</v>
      </c>
      <c r="BE115">
        <v>1782.6</v>
      </c>
    </row>
    <row r="116" spans="1:57" x14ac:dyDescent="0.25">
      <c r="A116" s="20" t="s">
        <v>1472</v>
      </c>
      <c r="B116">
        <v>117.6</v>
      </c>
      <c r="C116">
        <v>127.7</v>
      </c>
      <c r="D116">
        <v>125.8</v>
      </c>
      <c r="E116">
        <v>116.3</v>
      </c>
      <c r="F116">
        <v>125.5</v>
      </c>
      <c r="G116">
        <v>128.30000000000001</v>
      </c>
      <c r="H116">
        <v>123.8</v>
      </c>
      <c r="I116">
        <v>132.4</v>
      </c>
      <c r="J116">
        <v>149.69999999999999</v>
      </c>
      <c r="K116">
        <v>163</v>
      </c>
      <c r="L116">
        <v>140.30000000000001</v>
      </c>
      <c r="M116">
        <v>131.69999999999999</v>
      </c>
      <c r="N116">
        <v>135.19999999999999</v>
      </c>
      <c r="O116">
        <v>129</v>
      </c>
      <c r="P116">
        <v>147.30000000000001</v>
      </c>
      <c r="Q116">
        <v>138.9</v>
      </c>
      <c r="R116">
        <v>140.30000000000001</v>
      </c>
      <c r="S116">
        <v>122.9</v>
      </c>
      <c r="T116">
        <v>125.4</v>
      </c>
      <c r="U116">
        <v>106.2</v>
      </c>
      <c r="V116">
        <v>114.3</v>
      </c>
      <c r="W116">
        <v>109.8</v>
      </c>
      <c r="X116">
        <v>106.7</v>
      </c>
      <c r="Y116">
        <v>123.6</v>
      </c>
      <c r="Z116">
        <v>119</v>
      </c>
      <c r="AA116">
        <v>125.5</v>
      </c>
      <c r="AB116" s="2"/>
      <c r="AD116" t="s">
        <v>1592</v>
      </c>
      <c r="AE116">
        <v>858.8</v>
      </c>
      <c r="AF116">
        <v>841</v>
      </c>
      <c r="AG116">
        <v>872</v>
      </c>
      <c r="AH116">
        <v>874.8</v>
      </c>
      <c r="AI116">
        <v>883.6</v>
      </c>
      <c r="AJ116">
        <v>896.2</v>
      </c>
      <c r="AK116">
        <v>931.2</v>
      </c>
      <c r="AL116">
        <v>928.4</v>
      </c>
      <c r="AM116">
        <v>891.4</v>
      </c>
      <c r="AN116">
        <v>857.4</v>
      </c>
      <c r="AO116">
        <v>873.2</v>
      </c>
      <c r="AP116">
        <v>869</v>
      </c>
      <c r="AQ116">
        <v>855.9</v>
      </c>
      <c r="AR116">
        <v>855.2</v>
      </c>
      <c r="AS116">
        <v>879.9</v>
      </c>
      <c r="AT116">
        <v>855.7</v>
      </c>
      <c r="AU116">
        <v>880.8</v>
      </c>
      <c r="AV116">
        <v>874.9</v>
      </c>
      <c r="AW116">
        <v>830.5</v>
      </c>
      <c r="AX116">
        <v>755</v>
      </c>
      <c r="AY116">
        <v>803.6</v>
      </c>
      <c r="AZ116">
        <v>804.4</v>
      </c>
      <c r="BA116">
        <v>812.9</v>
      </c>
      <c r="BB116">
        <v>843.3</v>
      </c>
      <c r="BC116">
        <v>824.9</v>
      </c>
      <c r="BD116">
        <v>809.5</v>
      </c>
      <c r="BE116">
        <v>809.1</v>
      </c>
    </row>
    <row r="117" spans="1:57" ht="24" x14ac:dyDescent="0.25">
      <c r="A117" s="20" t="s">
        <v>1473</v>
      </c>
      <c r="B117">
        <v>101.5</v>
      </c>
      <c r="C117">
        <v>92.1</v>
      </c>
      <c r="D117">
        <v>92.9</v>
      </c>
      <c r="E117">
        <v>88.9</v>
      </c>
      <c r="F117">
        <v>91.8</v>
      </c>
      <c r="G117">
        <v>95.5</v>
      </c>
      <c r="H117">
        <v>93.6</v>
      </c>
      <c r="I117">
        <v>95</v>
      </c>
      <c r="J117">
        <v>88.6</v>
      </c>
      <c r="K117">
        <v>86.4</v>
      </c>
      <c r="L117">
        <v>88.1</v>
      </c>
      <c r="M117">
        <v>77.599999999999994</v>
      </c>
      <c r="N117">
        <v>73.7</v>
      </c>
      <c r="O117">
        <v>70.599999999999994</v>
      </c>
      <c r="P117">
        <v>70.2</v>
      </c>
      <c r="Q117">
        <v>68</v>
      </c>
      <c r="R117">
        <v>70.8</v>
      </c>
      <c r="S117">
        <v>72.5</v>
      </c>
      <c r="T117">
        <v>68</v>
      </c>
      <c r="U117">
        <v>43.8</v>
      </c>
      <c r="V117">
        <v>56.8</v>
      </c>
      <c r="W117">
        <v>61.1</v>
      </c>
      <c r="X117">
        <v>55.4</v>
      </c>
      <c r="Y117">
        <v>53.3</v>
      </c>
      <c r="Z117">
        <v>58.6</v>
      </c>
      <c r="AA117">
        <v>48.9</v>
      </c>
      <c r="AD117" t="s">
        <v>911</v>
      </c>
      <c r="AE117">
        <v>338.3</v>
      </c>
      <c r="AF117">
        <v>347.2</v>
      </c>
      <c r="AG117">
        <v>353.5</v>
      </c>
      <c r="AH117">
        <v>365.8</v>
      </c>
      <c r="AI117">
        <v>356.8</v>
      </c>
      <c r="AJ117">
        <v>352.8</v>
      </c>
      <c r="AK117">
        <v>383.1</v>
      </c>
      <c r="AL117">
        <v>364.7</v>
      </c>
      <c r="AM117">
        <v>331.2</v>
      </c>
      <c r="AN117">
        <v>350.6</v>
      </c>
      <c r="AO117">
        <v>370.8</v>
      </c>
      <c r="AP117">
        <v>362.2</v>
      </c>
      <c r="AQ117">
        <v>360</v>
      </c>
      <c r="AR117">
        <v>378.9</v>
      </c>
      <c r="AS117">
        <v>367.4</v>
      </c>
      <c r="AT117">
        <v>357.8</v>
      </c>
      <c r="AU117">
        <v>321.3</v>
      </c>
      <c r="AV117">
        <v>341.3</v>
      </c>
      <c r="AW117">
        <v>347.6</v>
      </c>
      <c r="AX117">
        <v>336.3</v>
      </c>
      <c r="AY117">
        <v>334.6</v>
      </c>
      <c r="AZ117">
        <v>325.60000000000002</v>
      </c>
      <c r="BA117">
        <v>282.5</v>
      </c>
      <c r="BB117">
        <v>329.7</v>
      </c>
      <c r="BC117">
        <v>345.3</v>
      </c>
      <c r="BD117">
        <v>316.8</v>
      </c>
      <c r="BE117">
        <v>292.5</v>
      </c>
    </row>
    <row r="118" spans="1:57" x14ac:dyDescent="0.25">
      <c r="A118" s="20" t="s">
        <v>1474</v>
      </c>
      <c r="B118">
        <v>37.700000000000003</v>
      </c>
      <c r="C118">
        <v>38</v>
      </c>
      <c r="D118">
        <v>37.700000000000003</v>
      </c>
      <c r="E118">
        <v>41</v>
      </c>
      <c r="F118">
        <v>41.1</v>
      </c>
      <c r="G118">
        <v>42.6</v>
      </c>
      <c r="H118">
        <v>40.1</v>
      </c>
      <c r="I118">
        <v>39.700000000000003</v>
      </c>
      <c r="J118">
        <v>29.7</v>
      </c>
      <c r="K118">
        <v>30.8</v>
      </c>
      <c r="L118">
        <v>29.9</v>
      </c>
      <c r="M118">
        <v>29.3</v>
      </c>
      <c r="N118">
        <v>30.1</v>
      </c>
      <c r="O118">
        <v>29</v>
      </c>
      <c r="P118">
        <v>28.7</v>
      </c>
      <c r="Q118">
        <v>30.1</v>
      </c>
      <c r="R118">
        <v>30.2</v>
      </c>
      <c r="S118">
        <v>31</v>
      </c>
      <c r="T118">
        <v>32.799999999999997</v>
      </c>
      <c r="U118">
        <v>32.299999999999997</v>
      </c>
      <c r="V118">
        <v>32.4</v>
      </c>
      <c r="W118">
        <v>35.700000000000003</v>
      </c>
      <c r="X118">
        <v>35.200000000000003</v>
      </c>
      <c r="Y118">
        <v>38.5</v>
      </c>
      <c r="Z118">
        <v>42.4</v>
      </c>
      <c r="AA118">
        <v>42.4</v>
      </c>
      <c r="AD118" t="s">
        <v>307</v>
      </c>
      <c r="AE118">
        <v>227.2</v>
      </c>
      <c r="AF118">
        <v>231.4</v>
      </c>
      <c r="AG118">
        <v>226.6</v>
      </c>
      <c r="AH118">
        <v>223.2</v>
      </c>
      <c r="AI118">
        <v>224.9</v>
      </c>
      <c r="AJ118">
        <v>227.9</v>
      </c>
      <c r="AK118">
        <v>237.7</v>
      </c>
      <c r="AL118">
        <v>238</v>
      </c>
      <c r="AM118">
        <v>220.3</v>
      </c>
      <c r="AN118">
        <v>220.9</v>
      </c>
      <c r="AO118">
        <v>236.6</v>
      </c>
      <c r="AP118">
        <v>228.3</v>
      </c>
      <c r="AQ118">
        <v>228.8</v>
      </c>
      <c r="AR118">
        <v>239.9</v>
      </c>
      <c r="AS118">
        <v>237.5</v>
      </c>
      <c r="AT118">
        <v>227</v>
      </c>
      <c r="AU118">
        <v>212.2</v>
      </c>
      <c r="AV118">
        <v>224.2</v>
      </c>
      <c r="AW118">
        <v>228.7</v>
      </c>
      <c r="AX118">
        <v>229.4</v>
      </c>
      <c r="AY118">
        <v>225.7</v>
      </c>
      <c r="AZ118">
        <v>225.5</v>
      </c>
      <c r="BA118">
        <v>201.3</v>
      </c>
      <c r="BB118">
        <v>225.7</v>
      </c>
      <c r="BC118">
        <v>233.6</v>
      </c>
      <c r="BD118">
        <v>245.4</v>
      </c>
      <c r="BE118">
        <v>231.3</v>
      </c>
    </row>
    <row r="119" spans="1:57" x14ac:dyDescent="0.25">
      <c r="A119" s="20" t="s">
        <v>1475</v>
      </c>
      <c r="B119">
        <v>33.5</v>
      </c>
      <c r="C119">
        <v>32.700000000000003</v>
      </c>
      <c r="D119">
        <v>33</v>
      </c>
      <c r="E119">
        <v>34.799999999999997</v>
      </c>
      <c r="F119">
        <v>36.299999999999997</v>
      </c>
      <c r="G119">
        <v>37.1</v>
      </c>
      <c r="H119">
        <v>37.299999999999997</v>
      </c>
      <c r="I119">
        <v>38.6</v>
      </c>
      <c r="J119">
        <v>39.5</v>
      </c>
      <c r="K119">
        <v>40.200000000000003</v>
      </c>
      <c r="L119">
        <v>41.4</v>
      </c>
      <c r="M119">
        <v>41.6</v>
      </c>
      <c r="N119">
        <v>43.2</v>
      </c>
      <c r="O119">
        <v>43.3</v>
      </c>
      <c r="P119">
        <v>45.9</v>
      </c>
      <c r="Q119">
        <v>46.2</v>
      </c>
      <c r="R119">
        <v>46.9</v>
      </c>
      <c r="S119">
        <v>45.5</v>
      </c>
      <c r="T119">
        <v>41.4</v>
      </c>
      <c r="U119">
        <v>29.6</v>
      </c>
      <c r="V119">
        <v>31.4</v>
      </c>
      <c r="W119">
        <v>32.200000000000003</v>
      </c>
      <c r="X119">
        <v>35.299999999999997</v>
      </c>
      <c r="Y119">
        <v>36.4</v>
      </c>
      <c r="Z119">
        <v>39.4</v>
      </c>
      <c r="AA119">
        <v>39.9</v>
      </c>
      <c r="AB119" s="2"/>
      <c r="AD119" t="s">
        <v>1918</v>
      </c>
      <c r="AE119">
        <v>27.6</v>
      </c>
      <c r="AF119">
        <v>31.4</v>
      </c>
      <c r="AG119">
        <v>33.1</v>
      </c>
      <c r="AH119">
        <v>34.200000000000003</v>
      </c>
      <c r="AI119">
        <v>37.799999999999997</v>
      </c>
      <c r="AJ119">
        <v>34.299999999999997</v>
      </c>
      <c r="AK119">
        <v>32.1</v>
      </c>
      <c r="AL119">
        <v>33</v>
      </c>
      <c r="AM119">
        <v>33.200000000000003</v>
      </c>
      <c r="AN119">
        <v>34</v>
      </c>
      <c r="AO119">
        <v>35.6</v>
      </c>
      <c r="AP119">
        <v>47.5</v>
      </c>
      <c r="AQ119">
        <v>42.5</v>
      </c>
      <c r="AR119">
        <v>49.6</v>
      </c>
      <c r="AS119">
        <v>52</v>
      </c>
      <c r="AT119">
        <v>49.7</v>
      </c>
      <c r="AU119">
        <v>49.9</v>
      </c>
      <c r="AV119">
        <v>47.1</v>
      </c>
      <c r="AW119">
        <v>40.700000000000003</v>
      </c>
      <c r="AX119">
        <v>43.1</v>
      </c>
      <c r="AY119">
        <v>42.4</v>
      </c>
      <c r="AZ119">
        <v>40.9</v>
      </c>
      <c r="BA119">
        <v>43.5</v>
      </c>
      <c r="BB119">
        <v>42.5</v>
      </c>
      <c r="BC119">
        <v>41.4</v>
      </c>
      <c r="BD119">
        <v>41.4</v>
      </c>
      <c r="BE119">
        <v>41.4</v>
      </c>
    </row>
    <row r="120" spans="1:57" x14ac:dyDescent="0.25">
      <c r="A120" s="20" t="s">
        <v>1476</v>
      </c>
      <c r="B120">
        <v>21.3</v>
      </c>
      <c r="C120">
        <v>22.7</v>
      </c>
      <c r="D120">
        <v>23.3</v>
      </c>
      <c r="E120">
        <v>24.3</v>
      </c>
      <c r="F120">
        <v>26.2</v>
      </c>
      <c r="G120">
        <v>27.6</v>
      </c>
      <c r="H120">
        <v>28.7</v>
      </c>
      <c r="I120">
        <v>30.1</v>
      </c>
      <c r="J120">
        <v>30.4</v>
      </c>
      <c r="K120">
        <v>31.9</v>
      </c>
      <c r="L120">
        <v>31.1</v>
      </c>
      <c r="M120">
        <v>27.2</v>
      </c>
      <c r="N120">
        <v>28.3</v>
      </c>
      <c r="O120">
        <v>28</v>
      </c>
      <c r="P120">
        <v>30.2</v>
      </c>
      <c r="Q120">
        <v>27</v>
      </c>
      <c r="R120">
        <v>27.2</v>
      </c>
      <c r="S120">
        <v>27.6</v>
      </c>
      <c r="T120">
        <v>24.4</v>
      </c>
      <c r="U120">
        <v>23.4</v>
      </c>
      <c r="V120">
        <v>27.3</v>
      </c>
      <c r="W120">
        <v>26.3</v>
      </c>
      <c r="X120">
        <v>26.5</v>
      </c>
      <c r="Y120">
        <v>26.4</v>
      </c>
      <c r="Z120">
        <v>26.5</v>
      </c>
      <c r="AA120">
        <v>28.1</v>
      </c>
      <c r="AD120" t="s">
        <v>1919</v>
      </c>
      <c r="AE120">
        <v>119.5</v>
      </c>
      <c r="AF120">
        <v>129.69999999999999</v>
      </c>
      <c r="AG120">
        <v>125.7</v>
      </c>
      <c r="AH120">
        <v>116.2</v>
      </c>
      <c r="AI120">
        <v>125.4</v>
      </c>
      <c r="AJ120">
        <v>128.30000000000001</v>
      </c>
      <c r="AK120">
        <v>123.8</v>
      </c>
      <c r="AL120">
        <v>132.30000000000001</v>
      </c>
      <c r="AM120">
        <v>149.69999999999999</v>
      </c>
      <c r="AN120">
        <v>162.9</v>
      </c>
      <c r="AO120">
        <v>140.19999999999999</v>
      </c>
      <c r="AP120">
        <v>131.69999999999999</v>
      </c>
      <c r="AQ120">
        <v>135.19999999999999</v>
      </c>
      <c r="AR120">
        <v>129</v>
      </c>
      <c r="AS120">
        <v>147.30000000000001</v>
      </c>
      <c r="AT120">
        <v>138.9</v>
      </c>
      <c r="AU120">
        <v>140.30000000000001</v>
      </c>
      <c r="AV120">
        <v>122.8</v>
      </c>
      <c r="AW120">
        <v>125.3</v>
      </c>
      <c r="AX120">
        <v>106.2</v>
      </c>
      <c r="AY120">
        <v>114.2</v>
      </c>
      <c r="AZ120">
        <v>109.7</v>
      </c>
      <c r="BA120">
        <v>108</v>
      </c>
      <c r="BB120">
        <v>123.5</v>
      </c>
      <c r="BC120">
        <v>118.9</v>
      </c>
      <c r="BD120">
        <v>125.6</v>
      </c>
      <c r="BE120">
        <v>112.2</v>
      </c>
    </row>
    <row r="121" spans="1:57" x14ac:dyDescent="0.25">
      <c r="A121" s="20" t="s">
        <v>1477</v>
      </c>
      <c r="B121">
        <v>11.7</v>
      </c>
      <c r="C121">
        <v>11.5</v>
      </c>
      <c r="D121">
        <v>11.9</v>
      </c>
      <c r="E121">
        <v>12.3</v>
      </c>
      <c r="F121">
        <v>12.7</v>
      </c>
      <c r="G121">
        <v>13.5</v>
      </c>
      <c r="H121">
        <v>14.2</v>
      </c>
      <c r="I121">
        <v>14.5</v>
      </c>
      <c r="J121">
        <v>14.8</v>
      </c>
      <c r="K121">
        <v>14.4</v>
      </c>
      <c r="L121">
        <v>14.3</v>
      </c>
      <c r="M121">
        <v>13.7</v>
      </c>
      <c r="N121">
        <v>13.2</v>
      </c>
      <c r="O121">
        <v>13.9</v>
      </c>
      <c r="P121">
        <v>14.6</v>
      </c>
      <c r="Q121">
        <v>14.6</v>
      </c>
      <c r="R121">
        <v>15.2</v>
      </c>
      <c r="S121">
        <v>14.7</v>
      </c>
      <c r="T121">
        <v>14.5</v>
      </c>
      <c r="U121">
        <v>11.4</v>
      </c>
      <c r="V121">
        <v>13.4</v>
      </c>
      <c r="W121">
        <v>14</v>
      </c>
      <c r="X121">
        <v>13.8</v>
      </c>
      <c r="Y121">
        <v>14</v>
      </c>
      <c r="Z121">
        <v>14.2</v>
      </c>
      <c r="AA121">
        <v>13.3</v>
      </c>
      <c r="AD121" t="s">
        <v>1920</v>
      </c>
      <c r="AE121">
        <v>101.6</v>
      </c>
      <c r="AF121">
        <v>92.2</v>
      </c>
      <c r="AG121">
        <v>93.1</v>
      </c>
      <c r="AH121">
        <v>89.1</v>
      </c>
      <c r="AI121">
        <v>92</v>
      </c>
      <c r="AJ121">
        <v>95.8</v>
      </c>
      <c r="AK121">
        <v>93.8</v>
      </c>
      <c r="AL121">
        <v>95.2</v>
      </c>
      <c r="AM121">
        <v>88.9</v>
      </c>
      <c r="AN121">
        <v>86.8</v>
      </c>
      <c r="AO121">
        <v>88.3</v>
      </c>
      <c r="AP121">
        <v>77.8</v>
      </c>
      <c r="AQ121">
        <v>73.900000000000006</v>
      </c>
      <c r="AR121">
        <v>70.7</v>
      </c>
      <c r="AS121">
        <v>70.400000000000006</v>
      </c>
      <c r="AT121">
        <v>68.2</v>
      </c>
      <c r="AU121">
        <v>70.900000000000006</v>
      </c>
      <c r="AV121">
        <v>72.7</v>
      </c>
      <c r="AW121">
        <v>68.2</v>
      </c>
      <c r="AX121">
        <v>43.8</v>
      </c>
      <c r="AY121">
        <v>56.9</v>
      </c>
      <c r="AZ121">
        <v>61.2</v>
      </c>
      <c r="BA121">
        <v>55.6</v>
      </c>
      <c r="BB121">
        <v>53.5</v>
      </c>
      <c r="BC121">
        <v>58.4</v>
      </c>
      <c r="BD121">
        <v>47.8</v>
      </c>
      <c r="BE121">
        <v>42.3</v>
      </c>
    </row>
    <row r="122" spans="1:57" x14ac:dyDescent="0.25">
      <c r="A122" s="20" t="s">
        <v>1478</v>
      </c>
      <c r="B122">
        <v>4.9000000000000004</v>
      </c>
      <c r="C122">
        <v>4.3</v>
      </c>
      <c r="D122">
        <v>4.3</v>
      </c>
      <c r="E122">
        <v>3.9</v>
      </c>
      <c r="F122">
        <v>4.3</v>
      </c>
      <c r="G122">
        <v>6.2</v>
      </c>
      <c r="H122">
        <v>6.8</v>
      </c>
      <c r="I122">
        <v>6.4</v>
      </c>
      <c r="J122">
        <v>6.7</v>
      </c>
      <c r="K122">
        <v>7.6</v>
      </c>
      <c r="L122">
        <v>4.7</v>
      </c>
      <c r="M122">
        <v>4.7</v>
      </c>
      <c r="N122">
        <v>5.0999999999999996</v>
      </c>
      <c r="O122">
        <v>3.7</v>
      </c>
      <c r="P122">
        <v>5.6</v>
      </c>
      <c r="Q122">
        <v>6.3</v>
      </c>
      <c r="R122">
        <v>7.3</v>
      </c>
      <c r="S122">
        <v>7.4</v>
      </c>
      <c r="T122">
        <v>5.9</v>
      </c>
      <c r="U122">
        <v>7.6</v>
      </c>
      <c r="V122">
        <v>9.6</v>
      </c>
      <c r="W122">
        <v>9.3000000000000007</v>
      </c>
      <c r="X122">
        <v>8</v>
      </c>
      <c r="Y122">
        <v>10.4</v>
      </c>
      <c r="Z122">
        <v>11.8</v>
      </c>
      <c r="AA122">
        <v>11.2</v>
      </c>
      <c r="AD122" t="s">
        <v>1921</v>
      </c>
      <c r="AE122">
        <v>33.5</v>
      </c>
      <c r="AF122">
        <v>32.700000000000003</v>
      </c>
      <c r="AG122">
        <v>33</v>
      </c>
      <c r="AH122">
        <v>34.799999999999997</v>
      </c>
      <c r="AI122">
        <v>36.299999999999997</v>
      </c>
      <c r="AJ122">
        <v>37.1</v>
      </c>
      <c r="AK122">
        <v>37.299999999999997</v>
      </c>
      <c r="AL122">
        <v>38.6</v>
      </c>
      <c r="AM122">
        <v>39.5</v>
      </c>
      <c r="AN122">
        <v>40.200000000000003</v>
      </c>
      <c r="AO122">
        <v>41.4</v>
      </c>
      <c r="AP122">
        <v>41.6</v>
      </c>
      <c r="AQ122">
        <v>43.2</v>
      </c>
      <c r="AR122">
        <v>43.3</v>
      </c>
      <c r="AS122">
        <v>45.9</v>
      </c>
      <c r="AT122">
        <v>46.2</v>
      </c>
      <c r="AU122">
        <v>46.9</v>
      </c>
      <c r="AV122">
        <v>45.5</v>
      </c>
      <c r="AW122">
        <v>41.4</v>
      </c>
      <c r="AX122">
        <v>29.6</v>
      </c>
      <c r="AY122">
        <v>31.4</v>
      </c>
      <c r="AZ122">
        <v>32.200000000000003</v>
      </c>
      <c r="BA122">
        <v>35.299999999999997</v>
      </c>
      <c r="BB122">
        <v>36.4</v>
      </c>
      <c r="BC122">
        <v>39.4</v>
      </c>
      <c r="BD122">
        <v>39.9</v>
      </c>
      <c r="BE122">
        <v>39.4</v>
      </c>
    </row>
    <row r="123" spans="1:57" x14ac:dyDescent="0.25">
      <c r="A123" s="20" t="s">
        <v>1479</v>
      </c>
      <c r="B123">
        <v>13</v>
      </c>
      <c r="C123">
        <v>13.3</v>
      </c>
      <c r="D123">
        <v>13.7</v>
      </c>
      <c r="E123">
        <v>13.2</v>
      </c>
      <c r="F123">
        <v>14.2</v>
      </c>
      <c r="G123">
        <v>13.5</v>
      </c>
      <c r="H123">
        <v>13.8</v>
      </c>
      <c r="I123">
        <v>14</v>
      </c>
      <c r="J123">
        <v>14.1</v>
      </c>
      <c r="K123">
        <v>12.9</v>
      </c>
      <c r="L123">
        <v>12.2</v>
      </c>
      <c r="M123">
        <v>9.1999999999999993</v>
      </c>
      <c r="N123">
        <v>10.5</v>
      </c>
      <c r="O123">
        <v>8.8000000000000007</v>
      </c>
      <c r="P123">
        <v>9.6</v>
      </c>
      <c r="Q123">
        <v>9.1999999999999993</v>
      </c>
      <c r="R123">
        <v>8.8000000000000007</v>
      </c>
      <c r="S123">
        <v>9.1</v>
      </c>
      <c r="T123">
        <v>8.4</v>
      </c>
      <c r="U123">
        <v>8.5</v>
      </c>
      <c r="V123">
        <v>9.1999999999999993</v>
      </c>
      <c r="W123">
        <v>9.3000000000000007</v>
      </c>
      <c r="X123">
        <v>9.4</v>
      </c>
      <c r="Y123">
        <v>10</v>
      </c>
      <c r="Z123">
        <v>9.6</v>
      </c>
      <c r="AA123">
        <v>10.8</v>
      </c>
      <c r="AD123" t="s">
        <v>1448</v>
      </c>
      <c r="AE123">
        <v>21.2</v>
      </c>
      <c r="AF123">
        <v>22.6</v>
      </c>
      <c r="AG123">
        <v>23.2</v>
      </c>
      <c r="AH123">
        <v>24.2</v>
      </c>
      <c r="AI123">
        <v>26.1</v>
      </c>
      <c r="AJ123">
        <v>27.4</v>
      </c>
      <c r="AK123">
        <v>28.5</v>
      </c>
      <c r="AL123">
        <v>29.9</v>
      </c>
      <c r="AM123">
        <v>30.3</v>
      </c>
      <c r="AN123">
        <v>31.7</v>
      </c>
      <c r="AO123">
        <v>30.9</v>
      </c>
      <c r="AP123">
        <v>27.1</v>
      </c>
      <c r="AQ123">
        <v>28.1</v>
      </c>
      <c r="AR123">
        <v>27.9</v>
      </c>
      <c r="AS123">
        <v>30</v>
      </c>
      <c r="AT123">
        <v>26.8</v>
      </c>
      <c r="AU123">
        <v>27</v>
      </c>
      <c r="AV123">
        <v>27.4</v>
      </c>
      <c r="AW123">
        <v>24.2</v>
      </c>
      <c r="AX123">
        <v>23.2</v>
      </c>
      <c r="AY123">
        <v>27.3</v>
      </c>
      <c r="AZ123">
        <v>26.3</v>
      </c>
      <c r="BA123">
        <v>26.5</v>
      </c>
      <c r="BB123">
        <v>26.4</v>
      </c>
      <c r="BC123">
        <v>26.5</v>
      </c>
      <c r="BD123">
        <v>28.1</v>
      </c>
      <c r="BE123">
        <v>28.1</v>
      </c>
    </row>
    <row r="124" spans="1:57" x14ac:dyDescent="0.25">
      <c r="A124" s="20" t="s">
        <v>1480</v>
      </c>
      <c r="B124">
        <v>8</v>
      </c>
      <c r="C124">
        <v>8</v>
      </c>
      <c r="D124">
        <v>9.5</v>
      </c>
      <c r="E124">
        <v>9.8000000000000007</v>
      </c>
      <c r="F124">
        <v>10.8</v>
      </c>
      <c r="G124">
        <v>11.3</v>
      </c>
      <c r="H124">
        <v>11.9</v>
      </c>
      <c r="I124">
        <v>11.8</v>
      </c>
      <c r="J124">
        <v>10.8</v>
      </c>
      <c r="K124">
        <v>11</v>
      </c>
      <c r="L124">
        <v>11.1</v>
      </c>
      <c r="M124">
        <v>11.4</v>
      </c>
      <c r="N124">
        <v>11.8</v>
      </c>
      <c r="O124">
        <v>12.1</v>
      </c>
      <c r="P124">
        <v>12.4</v>
      </c>
      <c r="Q124">
        <v>12.5</v>
      </c>
      <c r="R124">
        <v>12.5</v>
      </c>
      <c r="S124">
        <v>12.7</v>
      </c>
      <c r="T124">
        <v>11.9</v>
      </c>
      <c r="U124">
        <v>11.3</v>
      </c>
      <c r="V124">
        <v>11</v>
      </c>
      <c r="W124">
        <v>10.6</v>
      </c>
      <c r="X124">
        <v>10.4</v>
      </c>
      <c r="Y124">
        <v>10.4</v>
      </c>
      <c r="Z124">
        <v>10.6</v>
      </c>
      <c r="AA124">
        <v>10.7</v>
      </c>
      <c r="AD124" t="s">
        <v>1412</v>
      </c>
      <c r="AE124">
        <v>29.8</v>
      </c>
      <c r="AF124">
        <v>28.8</v>
      </c>
      <c r="AG124">
        <v>28.6</v>
      </c>
      <c r="AH124">
        <v>28.3</v>
      </c>
      <c r="AI124">
        <v>28.1</v>
      </c>
      <c r="AJ124">
        <v>26.1</v>
      </c>
      <c r="AK124">
        <v>24.2</v>
      </c>
      <c r="AL124">
        <v>24</v>
      </c>
      <c r="AM124">
        <v>21.9</v>
      </c>
      <c r="AN124">
        <v>22.5</v>
      </c>
      <c r="AO124">
        <v>22.7</v>
      </c>
      <c r="AP124">
        <v>22.4</v>
      </c>
      <c r="AQ124">
        <v>22.8</v>
      </c>
      <c r="AR124">
        <v>22.3</v>
      </c>
      <c r="AS124">
        <v>22.4</v>
      </c>
      <c r="AT124">
        <v>22.5</v>
      </c>
      <c r="AU124">
        <v>22.9</v>
      </c>
      <c r="AV124">
        <v>23</v>
      </c>
      <c r="AW124">
        <v>23.5</v>
      </c>
      <c r="AX124">
        <v>22.5</v>
      </c>
      <c r="AY124">
        <v>22.7</v>
      </c>
      <c r="AZ124">
        <v>24.2</v>
      </c>
      <c r="BA124">
        <v>23.3</v>
      </c>
      <c r="BB124">
        <v>24.8</v>
      </c>
      <c r="BC124">
        <v>25.3</v>
      </c>
      <c r="BD124">
        <v>24.9</v>
      </c>
      <c r="BE124">
        <v>25.5</v>
      </c>
    </row>
    <row r="125" spans="1:57" x14ac:dyDescent="0.25">
      <c r="A125" s="20" t="s">
        <v>1481</v>
      </c>
      <c r="B125">
        <v>2.4</v>
      </c>
      <c r="C125">
        <v>2.2999999999999998</v>
      </c>
      <c r="D125">
        <v>2.4</v>
      </c>
      <c r="E125">
        <v>2.6</v>
      </c>
      <c r="F125">
        <v>2.7</v>
      </c>
      <c r="G125">
        <v>2.7</v>
      </c>
      <c r="H125">
        <v>2.6</v>
      </c>
      <c r="I125">
        <v>2.7</v>
      </c>
      <c r="J125">
        <v>2.9</v>
      </c>
      <c r="K125">
        <v>3</v>
      </c>
      <c r="L125">
        <v>3.2</v>
      </c>
      <c r="M125">
        <v>3.4</v>
      </c>
      <c r="N125">
        <v>3.6</v>
      </c>
      <c r="O125">
        <v>3.7</v>
      </c>
      <c r="P125">
        <v>3.7</v>
      </c>
      <c r="Q125">
        <v>3.5</v>
      </c>
      <c r="R125">
        <v>3.7</v>
      </c>
      <c r="S125">
        <v>3.8</v>
      </c>
      <c r="T125">
        <v>3.6</v>
      </c>
      <c r="U125">
        <v>3.6</v>
      </c>
      <c r="V125">
        <v>3.8</v>
      </c>
      <c r="W125">
        <v>4.0999999999999996</v>
      </c>
      <c r="X125">
        <v>4.3</v>
      </c>
      <c r="Y125">
        <v>4.5</v>
      </c>
      <c r="Z125">
        <v>4.8</v>
      </c>
      <c r="AA125">
        <v>5</v>
      </c>
      <c r="AD125" t="s">
        <v>1426</v>
      </c>
      <c r="AE125">
        <v>7.7</v>
      </c>
      <c r="AF125">
        <v>8</v>
      </c>
      <c r="AG125">
        <v>8.1</v>
      </c>
      <c r="AH125">
        <v>8.4</v>
      </c>
      <c r="AI125">
        <v>8.6999999999999993</v>
      </c>
      <c r="AJ125">
        <v>9</v>
      </c>
      <c r="AK125">
        <v>9.5</v>
      </c>
      <c r="AL125">
        <v>10</v>
      </c>
      <c r="AM125">
        <v>10.199999999999999</v>
      </c>
      <c r="AN125">
        <v>10.1</v>
      </c>
      <c r="AO125">
        <v>10.4</v>
      </c>
      <c r="AP125">
        <v>10.7</v>
      </c>
      <c r="AQ125">
        <v>10.9</v>
      </c>
      <c r="AR125">
        <v>11.2</v>
      </c>
      <c r="AS125">
        <v>11.5</v>
      </c>
      <c r="AT125">
        <v>11.7</v>
      </c>
      <c r="AU125">
        <v>12</v>
      </c>
      <c r="AV125">
        <v>12.3</v>
      </c>
      <c r="AW125">
        <v>12.9</v>
      </c>
      <c r="AX125">
        <v>13.4</v>
      </c>
      <c r="AY125">
        <v>15</v>
      </c>
      <c r="AZ125">
        <v>16.399999999999999</v>
      </c>
      <c r="BA125">
        <v>19.3</v>
      </c>
      <c r="BB125">
        <v>22.6</v>
      </c>
      <c r="BC125">
        <v>26.3</v>
      </c>
      <c r="BD125">
        <v>28.8</v>
      </c>
      <c r="BE125">
        <v>22.8</v>
      </c>
    </row>
    <row r="126" spans="1:57" x14ac:dyDescent="0.25">
      <c r="A126" s="20" t="s">
        <v>1482</v>
      </c>
      <c r="B126">
        <v>1.5</v>
      </c>
      <c r="C126">
        <v>1.5</v>
      </c>
      <c r="D126">
        <v>1.5</v>
      </c>
      <c r="E126">
        <v>1.5</v>
      </c>
      <c r="F126">
        <v>1.5</v>
      </c>
      <c r="G126">
        <v>1.5</v>
      </c>
      <c r="H126">
        <v>1.5</v>
      </c>
      <c r="I126">
        <v>1.5</v>
      </c>
      <c r="J126">
        <v>1.5</v>
      </c>
      <c r="K126">
        <v>1.5</v>
      </c>
      <c r="L126">
        <v>1.5</v>
      </c>
      <c r="M126">
        <v>0.9</v>
      </c>
      <c r="N126">
        <v>1</v>
      </c>
      <c r="O126">
        <v>1.4</v>
      </c>
      <c r="P126">
        <v>1.3</v>
      </c>
      <c r="Q126">
        <v>1.4</v>
      </c>
      <c r="R126">
        <v>1.8</v>
      </c>
      <c r="S126">
        <v>1.9</v>
      </c>
      <c r="T126">
        <v>1.8</v>
      </c>
      <c r="U126">
        <v>1.8</v>
      </c>
      <c r="V126">
        <v>4.4000000000000004</v>
      </c>
      <c r="W126">
        <v>4.0999999999999996</v>
      </c>
      <c r="X126">
        <v>4</v>
      </c>
      <c r="Y126">
        <v>4.2</v>
      </c>
      <c r="Z126">
        <v>4.5</v>
      </c>
      <c r="AA126">
        <v>4.3</v>
      </c>
      <c r="AD126" t="s">
        <v>1443</v>
      </c>
      <c r="AE126">
        <v>11.7</v>
      </c>
      <c r="AF126">
        <v>11.5</v>
      </c>
      <c r="AG126">
        <v>11.9</v>
      </c>
      <c r="AH126">
        <v>12.3</v>
      </c>
      <c r="AI126">
        <v>12.7</v>
      </c>
      <c r="AJ126">
        <v>13.5</v>
      </c>
      <c r="AK126">
        <v>14.2</v>
      </c>
      <c r="AL126">
        <v>14.5</v>
      </c>
      <c r="AM126">
        <v>14.8</v>
      </c>
      <c r="AN126">
        <v>14.4</v>
      </c>
      <c r="AO126">
        <v>14.3</v>
      </c>
      <c r="AP126">
        <v>13.7</v>
      </c>
      <c r="AQ126">
        <v>13.2</v>
      </c>
      <c r="AR126">
        <v>13.9</v>
      </c>
      <c r="AS126">
        <v>14.6</v>
      </c>
      <c r="AT126">
        <v>14.6</v>
      </c>
      <c r="AU126">
        <v>15.2</v>
      </c>
      <c r="AV126">
        <v>14.7</v>
      </c>
      <c r="AW126">
        <v>14.5</v>
      </c>
      <c r="AX126">
        <v>11.4</v>
      </c>
      <c r="AY126">
        <v>13.4</v>
      </c>
      <c r="AZ126">
        <v>14</v>
      </c>
      <c r="BA126">
        <v>13.8</v>
      </c>
      <c r="BB126">
        <v>14</v>
      </c>
      <c r="BC126">
        <v>14.2</v>
      </c>
      <c r="BD126">
        <v>13.3</v>
      </c>
      <c r="BE126">
        <v>12.9</v>
      </c>
    </row>
    <row r="127" spans="1:57" x14ac:dyDescent="0.25">
      <c r="A127" s="20" t="s">
        <v>1483</v>
      </c>
      <c r="B127">
        <v>4.7</v>
      </c>
      <c r="C127">
        <v>5</v>
      </c>
      <c r="D127">
        <v>4.4000000000000004</v>
      </c>
      <c r="E127">
        <v>3.8</v>
      </c>
      <c r="F127">
        <v>4.0999999999999996</v>
      </c>
      <c r="G127">
        <v>4.4000000000000004</v>
      </c>
      <c r="H127">
        <v>4.4000000000000004</v>
      </c>
      <c r="I127">
        <v>4.3</v>
      </c>
      <c r="J127">
        <v>4.7</v>
      </c>
      <c r="K127">
        <v>4.5</v>
      </c>
      <c r="L127">
        <v>4.3</v>
      </c>
      <c r="M127">
        <v>4.4000000000000004</v>
      </c>
      <c r="N127">
        <v>5</v>
      </c>
      <c r="O127">
        <v>4.5999999999999996</v>
      </c>
      <c r="P127">
        <v>3.9</v>
      </c>
      <c r="Q127">
        <v>4.3</v>
      </c>
      <c r="R127">
        <v>4.2</v>
      </c>
      <c r="S127">
        <v>4.5</v>
      </c>
      <c r="T127">
        <v>5</v>
      </c>
      <c r="U127">
        <v>3.7</v>
      </c>
      <c r="V127">
        <v>4.8</v>
      </c>
      <c r="W127">
        <v>3.9</v>
      </c>
      <c r="X127">
        <v>6</v>
      </c>
      <c r="Y127">
        <v>3.9</v>
      </c>
      <c r="Z127">
        <v>3.6</v>
      </c>
      <c r="AA127">
        <v>3.8</v>
      </c>
      <c r="AD127" t="s">
        <v>1445</v>
      </c>
      <c r="AE127">
        <v>13</v>
      </c>
      <c r="AF127">
        <v>13.3</v>
      </c>
      <c r="AG127">
        <v>13.7</v>
      </c>
      <c r="AH127">
        <v>13.2</v>
      </c>
      <c r="AI127">
        <v>14.2</v>
      </c>
      <c r="AJ127">
        <v>13.5</v>
      </c>
      <c r="AK127">
        <v>13.8</v>
      </c>
      <c r="AL127">
        <v>14</v>
      </c>
      <c r="AM127">
        <v>14.1</v>
      </c>
      <c r="AN127">
        <v>12.9</v>
      </c>
      <c r="AO127">
        <v>12.2</v>
      </c>
      <c r="AP127">
        <v>9.1999999999999993</v>
      </c>
      <c r="AQ127">
        <v>10.5</v>
      </c>
      <c r="AR127">
        <v>8.8000000000000007</v>
      </c>
      <c r="AS127">
        <v>9.6</v>
      </c>
      <c r="AT127">
        <v>9.1999999999999993</v>
      </c>
      <c r="AU127">
        <v>8.8000000000000007</v>
      </c>
      <c r="AV127">
        <v>9.1</v>
      </c>
      <c r="AW127">
        <v>8.4</v>
      </c>
      <c r="AX127">
        <v>8.5</v>
      </c>
      <c r="AY127">
        <v>9.1999999999999993</v>
      </c>
      <c r="AZ127">
        <v>9.3000000000000007</v>
      </c>
      <c r="BA127">
        <v>9.4</v>
      </c>
      <c r="BB127">
        <v>10</v>
      </c>
      <c r="BC127">
        <v>9.6</v>
      </c>
      <c r="BD127">
        <v>10.9</v>
      </c>
      <c r="BE127">
        <v>12.2</v>
      </c>
    </row>
    <row r="128" spans="1:57" x14ac:dyDescent="0.25">
      <c r="A128" s="20" t="s">
        <v>1484</v>
      </c>
      <c r="B128">
        <v>3.6</v>
      </c>
      <c r="C128">
        <v>3.5</v>
      </c>
      <c r="D128">
        <v>3.6</v>
      </c>
      <c r="E128">
        <v>3.6</v>
      </c>
      <c r="F128">
        <v>3.6</v>
      </c>
      <c r="G128">
        <v>3.7</v>
      </c>
      <c r="H128">
        <v>3.7</v>
      </c>
      <c r="I128">
        <v>3.8</v>
      </c>
      <c r="J128">
        <v>3.9</v>
      </c>
      <c r="K128">
        <v>3.8</v>
      </c>
      <c r="L128">
        <v>3.9</v>
      </c>
      <c r="M128">
        <v>3.9</v>
      </c>
      <c r="N128">
        <v>3.9</v>
      </c>
      <c r="O128">
        <v>4</v>
      </c>
      <c r="P128">
        <v>4</v>
      </c>
      <c r="Q128">
        <v>3.9</v>
      </c>
      <c r="R128">
        <v>3.9</v>
      </c>
      <c r="S128">
        <v>3.9</v>
      </c>
      <c r="T128">
        <v>3.8</v>
      </c>
      <c r="U128">
        <v>3.7</v>
      </c>
      <c r="V128">
        <v>4.2</v>
      </c>
      <c r="W128">
        <v>4.2</v>
      </c>
      <c r="X128">
        <v>3.9</v>
      </c>
      <c r="Y128">
        <v>3.7</v>
      </c>
      <c r="Z128">
        <v>3.6</v>
      </c>
      <c r="AA128">
        <v>3.6</v>
      </c>
      <c r="AD128" t="s">
        <v>1718</v>
      </c>
      <c r="AE128">
        <v>6.3</v>
      </c>
      <c r="AF128">
        <v>5.7</v>
      </c>
      <c r="AG128">
        <v>5.6</v>
      </c>
      <c r="AH128">
        <v>5.2</v>
      </c>
      <c r="AI128">
        <v>5.6</v>
      </c>
      <c r="AJ128">
        <v>7.6</v>
      </c>
      <c r="AK128">
        <v>8.1999999999999993</v>
      </c>
      <c r="AL128">
        <v>7.8</v>
      </c>
      <c r="AM128">
        <v>8.1</v>
      </c>
      <c r="AN128">
        <v>8.9</v>
      </c>
      <c r="AO128">
        <v>6</v>
      </c>
      <c r="AP128">
        <v>6</v>
      </c>
      <c r="AQ128">
        <v>6.5</v>
      </c>
      <c r="AR128">
        <v>5.0999999999999996</v>
      </c>
      <c r="AS128">
        <v>6.9</v>
      </c>
      <c r="AT128">
        <v>7.6</v>
      </c>
      <c r="AU128">
        <v>8.6</v>
      </c>
      <c r="AV128">
        <v>8.6</v>
      </c>
      <c r="AW128">
        <v>7.1</v>
      </c>
      <c r="AX128">
        <v>8.6999999999999993</v>
      </c>
      <c r="AY128">
        <v>10.7</v>
      </c>
      <c r="AZ128">
        <v>10.4</v>
      </c>
      <c r="BA128">
        <v>9.1</v>
      </c>
      <c r="BB128">
        <v>11.5</v>
      </c>
      <c r="BC128">
        <v>13</v>
      </c>
      <c r="BD128">
        <v>12.3</v>
      </c>
      <c r="BE128">
        <v>11</v>
      </c>
    </row>
    <row r="129" spans="1:57" ht="24" x14ac:dyDescent="0.25">
      <c r="A129" s="20" t="s">
        <v>1485</v>
      </c>
      <c r="B129">
        <v>2.8</v>
      </c>
      <c r="C129">
        <v>2.8</v>
      </c>
      <c r="D129">
        <v>2.8</v>
      </c>
      <c r="E129">
        <v>2.7</v>
      </c>
      <c r="F129">
        <v>2.7</v>
      </c>
      <c r="G129">
        <v>3</v>
      </c>
      <c r="H129">
        <v>3</v>
      </c>
      <c r="I129">
        <v>3.1</v>
      </c>
      <c r="J129">
        <v>3</v>
      </c>
      <c r="K129">
        <v>2.9</v>
      </c>
      <c r="L129">
        <v>2.9</v>
      </c>
      <c r="M129">
        <v>2.9</v>
      </c>
      <c r="N129">
        <v>2.8</v>
      </c>
      <c r="O129">
        <v>2.8</v>
      </c>
      <c r="P129">
        <v>2.9</v>
      </c>
      <c r="Q129">
        <v>3</v>
      </c>
      <c r="R129">
        <v>2.9</v>
      </c>
      <c r="S129">
        <v>2.9</v>
      </c>
      <c r="T129">
        <v>3</v>
      </c>
      <c r="U129">
        <v>2.6</v>
      </c>
      <c r="V129">
        <v>2.7</v>
      </c>
      <c r="W129">
        <v>2.7</v>
      </c>
      <c r="X129">
        <v>2.8</v>
      </c>
      <c r="Y129">
        <v>2.8</v>
      </c>
      <c r="Z129">
        <v>2.8</v>
      </c>
      <c r="AA129">
        <v>2.8</v>
      </c>
      <c r="AD129" t="s">
        <v>1720</v>
      </c>
      <c r="AE129">
        <v>8</v>
      </c>
      <c r="AF129">
        <v>8</v>
      </c>
      <c r="AG129">
        <v>9.5</v>
      </c>
      <c r="AH129">
        <v>9.8000000000000007</v>
      </c>
      <c r="AI129">
        <v>10.8</v>
      </c>
      <c r="AJ129">
        <v>11.3</v>
      </c>
      <c r="AK129">
        <v>11.9</v>
      </c>
      <c r="AL129">
        <v>11.8</v>
      </c>
      <c r="AM129">
        <v>10.8</v>
      </c>
      <c r="AN129">
        <v>11</v>
      </c>
      <c r="AO129">
        <v>11.1</v>
      </c>
      <c r="AP129">
        <v>11.4</v>
      </c>
      <c r="AQ129">
        <v>11.8</v>
      </c>
      <c r="AR129">
        <v>12.1</v>
      </c>
      <c r="AS129">
        <v>12.4</v>
      </c>
      <c r="AT129">
        <v>12.5</v>
      </c>
      <c r="AU129">
        <v>12.5</v>
      </c>
      <c r="AV129">
        <v>12.7</v>
      </c>
      <c r="AW129">
        <v>11.9</v>
      </c>
      <c r="AX129">
        <v>11.3</v>
      </c>
      <c r="AY129">
        <v>11.1</v>
      </c>
      <c r="AZ129">
        <v>10.6</v>
      </c>
      <c r="BA129">
        <v>10.4</v>
      </c>
      <c r="BB129">
        <v>10.4</v>
      </c>
      <c r="BC129">
        <v>10.6</v>
      </c>
      <c r="BD129">
        <v>10.7</v>
      </c>
      <c r="BE129">
        <v>10.7</v>
      </c>
    </row>
    <row r="130" spans="1:57" x14ac:dyDescent="0.25">
      <c r="A130" s="20" t="s">
        <v>1486</v>
      </c>
      <c r="B130">
        <v>6.8</v>
      </c>
      <c r="C130">
        <v>6.9</v>
      </c>
      <c r="D130">
        <v>6.8</v>
      </c>
      <c r="E130">
        <v>6.2</v>
      </c>
      <c r="F130">
        <v>5.5</v>
      </c>
      <c r="G130">
        <v>5.7</v>
      </c>
      <c r="H130">
        <v>6</v>
      </c>
      <c r="I130">
        <v>6</v>
      </c>
      <c r="J130">
        <v>6.2</v>
      </c>
      <c r="K130">
        <v>6.3</v>
      </c>
      <c r="L130">
        <v>6.1</v>
      </c>
      <c r="M130">
        <v>4.4000000000000004</v>
      </c>
      <c r="N130">
        <v>4.5</v>
      </c>
      <c r="O130">
        <v>4.5</v>
      </c>
      <c r="P130">
        <v>4.2</v>
      </c>
      <c r="Q130">
        <v>4.0999999999999996</v>
      </c>
      <c r="R130">
        <v>3.8</v>
      </c>
      <c r="S130">
        <v>4.3</v>
      </c>
      <c r="T130">
        <v>4.5</v>
      </c>
      <c r="U130">
        <v>3</v>
      </c>
      <c r="V130">
        <v>2.7</v>
      </c>
      <c r="W130">
        <v>3.3</v>
      </c>
      <c r="X130">
        <v>3.4</v>
      </c>
      <c r="Y130">
        <v>3.3</v>
      </c>
      <c r="Z130">
        <v>2.8</v>
      </c>
      <c r="AA130">
        <v>2.8</v>
      </c>
      <c r="AD130" t="s">
        <v>1719</v>
      </c>
      <c r="AE130">
        <v>2.4</v>
      </c>
      <c r="AF130">
        <v>2.2999999999999998</v>
      </c>
      <c r="AG130">
        <v>2.4</v>
      </c>
      <c r="AH130">
        <v>2.6</v>
      </c>
      <c r="AI130">
        <v>2.7</v>
      </c>
      <c r="AJ130">
        <v>2.7</v>
      </c>
      <c r="AK130">
        <v>2.6</v>
      </c>
      <c r="AL130">
        <v>2.7</v>
      </c>
      <c r="AM130">
        <v>2.9</v>
      </c>
      <c r="AN130">
        <v>3</v>
      </c>
      <c r="AO130">
        <v>3.2</v>
      </c>
      <c r="AP130">
        <v>3.4</v>
      </c>
      <c r="AQ130">
        <v>3.6</v>
      </c>
      <c r="AR130">
        <v>3.7</v>
      </c>
      <c r="AS130">
        <v>3.7</v>
      </c>
      <c r="AT130">
        <v>3.5</v>
      </c>
      <c r="AU130">
        <v>3.7</v>
      </c>
      <c r="AV130">
        <v>3.8</v>
      </c>
      <c r="AW130">
        <v>3.6</v>
      </c>
      <c r="AX130">
        <v>3.6</v>
      </c>
      <c r="AY130">
        <v>3.8</v>
      </c>
      <c r="AZ130">
        <v>4.0999999999999996</v>
      </c>
      <c r="BA130">
        <v>4.3</v>
      </c>
      <c r="BB130">
        <v>4.4000000000000004</v>
      </c>
      <c r="BC130">
        <v>4.5</v>
      </c>
      <c r="BD130">
        <v>4.9000000000000004</v>
      </c>
      <c r="BE130">
        <v>5.0999999999999996</v>
      </c>
    </row>
    <row r="131" spans="1:57" x14ac:dyDescent="0.25">
      <c r="A131" s="20" t="s">
        <v>1487</v>
      </c>
      <c r="B131">
        <v>2.2000000000000002</v>
      </c>
      <c r="C131">
        <v>1.9</v>
      </c>
      <c r="D131">
        <v>2</v>
      </c>
      <c r="E131">
        <v>1.9</v>
      </c>
      <c r="F131">
        <v>2</v>
      </c>
      <c r="G131">
        <v>2</v>
      </c>
      <c r="H131">
        <v>2.1</v>
      </c>
      <c r="I131">
        <v>2.2000000000000002</v>
      </c>
      <c r="J131">
        <v>2.2000000000000002</v>
      </c>
      <c r="K131">
        <v>2.2000000000000002</v>
      </c>
      <c r="L131">
        <v>1.9</v>
      </c>
      <c r="M131">
        <v>1.5</v>
      </c>
      <c r="N131">
        <v>1.3</v>
      </c>
      <c r="O131">
        <v>1.3</v>
      </c>
      <c r="P131">
        <v>1.4</v>
      </c>
      <c r="Q131">
        <v>1.4</v>
      </c>
      <c r="R131">
        <v>1.5</v>
      </c>
      <c r="S131">
        <v>1.6</v>
      </c>
      <c r="T131">
        <v>1.6</v>
      </c>
      <c r="U131">
        <v>1.5</v>
      </c>
      <c r="V131">
        <v>1.7</v>
      </c>
      <c r="W131">
        <v>1.7</v>
      </c>
      <c r="X131">
        <v>1.9</v>
      </c>
      <c r="Y131">
        <v>1.8</v>
      </c>
      <c r="Z131">
        <v>1.9</v>
      </c>
      <c r="AA131">
        <v>2</v>
      </c>
      <c r="AD131" t="s">
        <v>1449</v>
      </c>
      <c r="AE131">
        <v>1.5</v>
      </c>
      <c r="AF131">
        <v>1.5</v>
      </c>
      <c r="AG131">
        <v>1.5</v>
      </c>
      <c r="AH131">
        <v>1.5</v>
      </c>
      <c r="AI131">
        <v>1.5</v>
      </c>
      <c r="AJ131">
        <v>1.5</v>
      </c>
      <c r="AK131">
        <v>1.5</v>
      </c>
      <c r="AL131">
        <v>1.5</v>
      </c>
      <c r="AM131">
        <v>1.5</v>
      </c>
      <c r="AN131">
        <v>1.5</v>
      </c>
      <c r="AO131">
        <v>1.5</v>
      </c>
      <c r="AP131">
        <v>0.9</v>
      </c>
      <c r="AQ131">
        <v>1</v>
      </c>
      <c r="AR131">
        <v>1.4</v>
      </c>
      <c r="AS131">
        <v>1.3</v>
      </c>
      <c r="AT131">
        <v>1.4</v>
      </c>
      <c r="AU131">
        <v>1.8</v>
      </c>
      <c r="AV131">
        <v>1.9</v>
      </c>
      <c r="AW131">
        <v>1.8</v>
      </c>
      <c r="AX131">
        <v>1.8</v>
      </c>
      <c r="AY131">
        <v>4.4000000000000004</v>
      </c>
      <c r="AZ131">
        <v>4.0999999999999996</v>
      </c>
      <c r="BA131">
        <v>4</v>
      </c>
      <c r="BB131">
        <v>4.2</v>
      </c>
      <c r="BC131">
        <v>4.5</v>
      </c>
      <c r="BD131">
        <v>4.5</v>
      </c>
      <c r="BE131">
        <v>4.5</v>
      </c>
    </row>
    <row r="132" spans="1:57" x14ac:dyDescent="0.25">
      <c r="A132" s="20" t="s">
        <v>1488</v>
      </c>
      <c r="B132">
        <v>1.2</v>
      </c>
      <c r="C132">
        <v>1.2</v>
      </c>
      <c r="D132">
        <v>1.4</v>
      </c>
      <c r="E132">
        <v>1.4</v>
      </c>
      <c r="F132">
        <v>1.5</v>
      </c>
      <c r="G132">
        <v>1.5</v>
      </c>
      <c r="H132">
        <v>1.5</v>
      </c>
      <c r="I132">
        <v>1.7</v>
      </c>
      <c r="J132">
        <v>1.7</v>
      </c>
      <c r="K132">
        <v>1.7</v>
      </c>
      <c r="L132">
        <v>1.8</v>
      </c>
      <c r="M132">
        <v>1.7</v>
      </c>
      <c r="N132">
        <v>1.8</v>
      </c>
      <c r="O132">
        <v>1.8</v>
      </c>
      <c r="P132">
        <v>2.1</v>
      </c>
      <c r="Q132">
        <v>1.8</v>
      </c>
      <c r="R132">
        <v>1.8</v>
      </c>
      <c r="S132">
        <v>1.9</v>
      </c>
      <c r="T132">
        <v>1.8</v>
      </c>
      <c r="U132">
        <v>1.6</v>
      </c>
      <c r="V132">
        <v>1.8</v>
      </c>
      <c r="W132">
        <v>1.7</v>
      </c>
      <c r="X132">
        <v>1.5</v>
      </c>
      <c r="Y132">
        <v>1.7</v>
      </c>
      <c r="Z132">
        <v>1.7</v>
      </c>
      <c r="AA132">
        <v>1.6</v>
      </c>
      <c r="AD132" t="s">
        <v>1446</v>
      </c>
      <c r="AE132">
        <v>3.8</v>
      </c>
      <c r="AF132">
        <v>3.5</v>
      </c>
      <c r="AG132">
        <v>3.9</v>
      </c>
      <c r="AH132">
        <v>4.5999999999999996</v>
      </c>
      <c r="AI132">
        <v>4.3</v>
      </c>
      <c r="AJ132">
        <v>4.3</v>
      </c>
      <c r="AK132">
        <v>3.9</v>
      </c>
      <c r="AL132">
        <v>3.9</v>
      </c>
      <c r="AM132">
        <v>4.8</v>
      </c>
      <c r="AN132">
        <v>4.7</v>
      </c>
      <c r="AO132">
        <v>4.2</v>
      </c>
      <c r="AP132">
        <v>4.0999999999999996</v>
      </c>
      <c r="AQ132">
        <v>3.7</v>
      </c>
      <c r="AR132">
        <v>3.6</v>
      </c>
      <c r="AS132">
        <v>3.7</v>
      </c>
      <c r="AT132">
        <v>3.7</v>
      </c>
      <c r="AU132">
        <v>3.5</v>
      </c>
      <c r="AV132">
        <v>4.9000000000000004</v>
      </c>
      <c r="AW132">
        <v>4.0999999999999996</v>
      </c>
      <c r="AX132">
        <v>3.4</v>
      </c>
      <c r="AY132">
        <v>4.7</v>
      </c>
      <c r="AZ132">
        <v>4</v>
      </c>
      <c r="BA132">
        <v>4.4000000000000004</v>
      </c>
      <c r="BB132">
        <v>4.0999999999999996</v>
      </c>
      <c r="BC132">
        <v>1.5</v>
      </c>
      <c r="BD132">
        <v>4.2</v>
      </c>
      <c r="BE132">
        <v>4</v>
      </c>
    </row>
    <row r="133" spans="1:57" x14ac:dyDescent="0.25">
      <c r="A133" s="20" t="s">
        <v>1489</v>
      </c>
      <c r="B133">
        <v>1.5</v>
      </c>
      <c r="C133">
        <v>1.4</v>
      </c>
      <c r="D133">
        <v>1.5</v>
      </c>
      <c r="E133">
        <v>1.6</v>
      </c>
      <c r="F133">
        <v>1.7</v>
      </c>
      <c r="G133">
        <v>1.8</v>
      </c>
      <c r="H133">
        <v>1.7</v>
      </c>
      <c r="I133">
        <v>1.6</v>
      </c>
      <c r="J133">
        <v>1.5</v>
      </c>
      <c r="K133">
        <v>1.4</v>
      </c>
      <c r="L133">
        <v>1.7</v>
      </c>
      <c r="M133">
        <v>1.4</v>
      </c>
      <c r="N133">
        <v>1.7</v>
      </c>
      <c r="O133">
        <v>1.6</v>
      </c>
      <c r="P133">
        <v>1.6</v>
      </c>
      <c r="Q133">
        <v>1.9</v>
      </c>
      <c r="R133">
        <v>2.1</v>
      </c>
      <c r="S133">
        <v>1.5</v>
      </c>
      <c r="T133">
        <v>1.5</v>
      </c>
      <c r="U133">
        <v>1</v>
      </c>
      <c r="V133">
        <v>1.5</v>
      </c>
      <c r="W133">
        <v>1.3</v>
      </c>
      <c r="X133">
        <v>1.2</v>
      </c>
      <c r="Y133">
        <v>1.3</v>
      </c>
      <c r="Z133">
        <v>1.3</v>
      </c>
      <c r="AA133">
        <v>1.3</v>
      </c>
      <c r="AD133" t="s">
        <v>1721</v>
      </c>
      <c r="AE133">
        <v>4.7</v>
      </c>
      <c r="AF133">
        <v>5</v>
      </c>
      <c r="AG133">
        <v>4.4000000000000004</v>
      </c>
      <c r="AH133">
        <v>3.8</v>
      </c>
      <c r="AI133">
        <v>4.0999999999999996</v>
      </c>
      <c r="AJ133">
        <v>4.4000000000000004</v>
      </c>
      <c r="AK133">
        <v>4.4000000000000004</v>
      </c>
      <c r="AL133">
        <v>4.3</v>
      </c>
      <c r="AM133">
        <v>4.7</v>
      </c>
      <c r="AN133">
        <v>4.5</v>
      </c>
      <c r="AO133">
        <v>4.3</v>
      </c>
      <c r="AP133">
        <v>4.4000000000000004</v>
      </c>
      <c r="AQ133">
        <v>5</v>
      </c>
      <c r="AR133">
        <v>4.5999999999999996</v>
      </c>
      <c r="AS133">
        <v>3.9</v>
      </c>
      <c r="AT133">
        <v>4.3</v>
      </c>
      <c r="AU133">
        <v>4.2</v>
      </c>
      <c r="AV133">
        <v>4.5</v>
      </c>
      <c r="AW133">
        <v>5</v>
      </c>
      <c r="AX133">
        <v>3.7</v>
      </c>
      <c r="AY133">
        <v>4.8</v>
      </c>
      <c r="AZ133">
        <v>3.9</v>
      </c>
      <c r="BA133">
        <v>6</v>
      </c>
      <c r="BB133">
        <v>3.9</v>
      </c>
      <c r="BC133">
        <v>3.6</v>
      </c>
      <c r="BD133">
        <v>3.8</v>
      </c>
      <c r="BE133">
        <v>3.9</v>
      </c>
    </row>
    <row r="134" spans="1:57" ht="24" x14ac:dyDescent="0.25">
      <c r="A134" s="20" t="s">
        <v>1490</v>
      </c>
      <c r="B134">
        <v>3.8</v>
      </c>
      <c r="C134">
        <v>3.5</v>
      </c>
      <c r="D134">
        <v>3.9</v>
      </c>
      <c r="E134">
        <v>4.5999999999999996</v>
      </c>
      <c r="F134">
        <v>4.3</v>
      </c>
      <c r="G134">
        <v>4.3</v>
      </c>
      <c r="H134">
        <v>3.9</v>
      </c>
      <c r="I134">
        <v>3.9</v>
      </c>
      <c r="J134">
        <v>4.8</v>
      </c>
      <c r="K134">
        <v>4.7</v>
      </c>
      <c r="L134">
        <v>4.2</v>
      </c>
      <c r="M134">
        <v>4.0999999999999996</v>
      </c>
      <c r="N134">
        <v>3.7</v>
      </c>
      <c r="O134">
        <v>3.6</v>
      </c>
      <c r="P134">
        <v>3.7</v>
      </c>
      <c r="Q134">
        <v>3.7</v>
      </c>
      <c r="R134">
        <v>3.5</v>
      </c>
      <c r="S134">
        <v>4.9000000000000004</v>
      </c>
      <c r="T134">
        <v>4.0999999999999996</v>
      </c>
      <c r="U134">
        <v>3.4</v>
      </c>
      <c r="V134">
        <v>4.7</v>
      </c>
      <c r="W134">
        <v>4</v>
      </c>
      <c r="X134">
        <v>4.4000000000000004</v>
      </c>
      <c r="Y134">
        <v>4</v>
      </c>
      <c r="Z134">
        <v>1.4</v>
      </c>
      <c r="AA134">
        <v>1.1000000000000001</v>
      </c>
      <c r="AD134" t="s">
        <v>1722</v>
      </c>
      <c r="AE134">
        <v>2.2000000000000002</v>
      </c>
      <c r="AF134">
        <v>1.9</v>
      </c>
      <c r="AG134">
        <v>2</v>
      </c>
      <c r="AH134">
        <v>1.9</v>
      </c>
      <c r="AI134">
        <v>2</v>
      </c>
      <c r="AJ134">
        <v>2</v>
      </c>
      <c r="AK134">
        <v>2.1</v>
      </c>
      <c r="AL134">
        <v>2.2000000000000002</v>
      </c>
      <c r="AM134">
        <v>2.2000000000000002</v>
      </c>
      <c r="AN134">
        <v>2.2000000000000002</v>
      </c>
      <c r="AO134">
        <v>1.9</v>
      </c>
      <c r="AP134">
        <v>1.5</v>
      </c>
      <c r="AQ134">
        <v>1.3</v>
      </c>
      <c r="AR134">
        <v>1.3</v>
      </c>
      <c r="AS134">
        <v>1.4</v>
      </c>
      <c r="AT134">
        <v>1.4</v>
      </c>
      <c r="AU134">
        <v>1.5</v>
      </c>
      <c r="AV134">
        <v>1.6</v>
      </c>
      <c r="AW134">
        <v>1.6</v>
      </c>
      <c r="AX134">
        <v>1.5</v>
      </c>
      <c r="AY134">
        <v>1.7</v>
      </c>
      <c r="AZ134">
        <v>1.7</v>
      </c>
      <c r="BA134">
        <v>1.9</v>
      </c>
      <c r="BB134">
        <v>1.8</v>
      </c>
      <c r="BC134">
        <v>1.9</v>
      </c>
      <c r="BD134">
        <v>2</v>
      </c>
      <c r="BE134">
        <v>1.8</v>
      </c>
    </row>
    <row r="135" spans="1:57" x14ac:dyDescent="0.25">
      <c r="A135" s="20" t="s">
        <v>1491</v>
      </c>
      <c r="B135">
        <v>1.5</v>
      </c>
      <c r="C135">
        <v>1.4</v>
      </c>
      <c r="D135">
        <v>1.5</v>
      </c>
      <c r="E135">
        <v>1.3</v>
      </c>
      <c r="F135">
        <v>1.5</v>
      </c>
      <c r="G135">
        <v>1.5</v>
      </c>
      <c r="H135">
        <v>1.6</v>
      </c>
      <c r="I135">
        <v>1.5</v>
      </c>
      <c r="J135">
        <v>1.6</v>
      </c>
      <c r="K135">
        <v>1.5</v>
      </c>
      <c r="L135">
        <v>1.4</v>
      </c>
      <c r="M135">
        <v>1.3</v>
      </c>
      <c r="N135">
        <v>1.3</v>
      </c>
      <c r="O135">
        <v>1.4</v>
      </c>
      <c r="P135">
        <v>1.4</v>
      </c>
      <c r="Q135">
        <v>1.3</v>
      </c>
      <c r="R135">
        <v>1.2</v>
      </c>
      <c r="S135">
        <v>1.2</v>
      </c>
      <c r="T135">
        <v>1.1000000000000001</v>
      </c>
      <c r="U135">
        <v>1</v>
      </c>
      <c r="V135">
        <v>1.1000000000000001</v>
      </c>
      <c r="W135">
        <v>1.2</v>
      </c>
      <c r="X135">
        <v>1.1000000000000001</v>
      </c>
      <c r="Y135">
        <v>1.1000000000000001</v>
      </c>
      <c r="Z135">
        <v>1</v>
      </c>
      <c r="AA135">
        <v>1</v>
      </c>
      <c r="AD135" t="s">
        <v>1922</v>
      </c>
      <c r="AE135">
        <v>1.4</v>
      </c>
      <c r="AF135">
        <v>1.4</v>
      </c>
      <c r="AG135">
        <v>1.5</v>
      </c>
      <c r="AH135">
        <v>1.4</v>
      </c>
      <c r="AI135">
        <v>1.4</v>
      </c>
      <c r="AJ135">
        <v>1.6</v>
      </c>
      <c r="AK135">
        <v>1.6</v>
      </c>
      <c r="AL135">
        <v>1.7</v>
      </c>
      <c r="AM135">
        <v>1.6</v>
      </c>
      <c r="AN135">
        <v>1.5</v>
      </c>
      <c r="AO135">
        <v>1.5</v>
      </c>
      <c r="AP135">
        <v>1.5</v>
      </c>
      <c r="AQ135">
        <v>1.5</v>
      </c>
      <c r="AR135">
        <v>1.5</v>
      </c>
      <c r="AS135">
        <v>1.6</v>
      </c>
      <c r="AT135">
        <v>1.7</v>
      </c>
      <c r="AU135">
        <v>1.6</v>
      </c>
      <c r="AV135">
        <v>1.7</v>
      </c>
      <c r="AW135">
        <v>1.7</v>
      </c>
      <c r="AX135">
        <v>1.5</v>
      </c>
      <c r="AY135">
        <v>1.5</v>
      </c>
      <c r="AZ135">
        <v>1.6</v>
      </c>
      <c r="BA135">
        <v>1.7</v>
      </c>
      <c r="BB135">
        <v>1.7</v>
      </c>
      <c r="BC135">
        <v>1.7</v>
      </c>
      <c r="BD135">
        <v>1.7</v>
      </c>
      <c r="BE135">
        <v>1.7</v>
      </c>
    </row>
    <row r="136" spans="1:57" x14ac:dyDescent="0.25">
      <c r="A136" s="20" t="s">
        <v>1492</v>
      </c>
      <c r="B136">
        <v>0.6</v>
      </c>
      <c r="C136">
        <v>0.8</v>
      </c>
      <c r="D136">
        <v>0.8</v>
      </c>
      <c r="E136">
        <v>0.9</v>
      </c>
      <c r="F136">
        <v>0.9</v>
      </c>
      <c r="G136">
        <v>0.9</v>
      </c>
      <c r="H136">
        <v>0.9</v>
      </c>
      <c r="I136">
        <v>1</v>
      </c>
      <c r="J136">
        <v>0.9</v>
      </c>
      <c r="K136">
        <v>0.9</v>
      </c>
      <c r="L136">
        <v>0.9</v>
      </c>
      <c r="M136">
        <v>0.7</v>
      </c>
      <c r="N136">
        <v>0.7</v>
      </c>
      <c r="O136">
        <v>1.1000000000000001</v>
      </c>
      <c r="P136">
        <v>1</v>
      </c>
      <c r="Q136">
        <v>1</v>
      </c>
      <c r="R136">
        <v>1</v>
      </c>
      <c r="S136">
        <v>1</v>
      </c>
      <c r="T136">
        <v>1.2</v>
      </c>
      <c r="U136">
        <v>0.9</v>
      </c>
      <c r="V136">
        <v>1.2</v>
      </c>
      <c r="W136">
        <v>1.3</v>
      </c>
      <c r="X136">
        <v>1.5</v>
      </c>
      <c r="Y136">
        <v>1.4</v>
      </c>
      <c r="Z136">
        <v>1</v>
      </c>
      <c r="AA136">
        <v>0.9</v>
      </c>
      <c r="AD136" t="s">
        <v>1450</v>
      </c>
      <c r="AE136">
        <v>1.2</v>
      </c>
      <c r="AF136">
        <v>1.2</v>
      </c>
      <c r="AG136">
        <v>1.4</v>
      </c>
      <c r="AH136">
        <v>1.4</v>
      </c>
      <c r="AI136">
        <v>1.5</v>
      </c>
      <c r="AJ136">
        <v>1.5</v>
      </c>
      <c r="AK136">
        <v>1.5</v>
      </c>
      <c r="AL136">
        <v>1.7</v>
      </c>
      <c r="AM136">
        <v>1.7</v>
      </c>
      <c r="AN136">
        <v>1.7</v>
      </c>
      <c r="AO136">
        <v>1.8</v>
      </c>
      <c r="AP136">
        <v>1.7</v>
      </c>
      <c r="AQ136">
        <v>1.8</v>
      </c>
      <c r="AR136">
        <v>1.8</v>
      </c>
      <c r="AS136">
        <v>2.1</v>
      </c>
      <c r="AT136">
        <v>1.8</v>
      </c>
      <c r="AU136">
        <v>1.8</v>
      </c>
      <c r="AV136">
        <v>1.9</v>
      </c>
      <c r="AW136">
        <v>1.8</v>
      </c>
      <c r="AX136">
        <v>1.6</v>
      </c>
      <c r="AY136">
        <v>1.8</v>
      </c>
      <c r="AZ136">
        <v>1.7</v>
      </c>
      <c r="BA136">
        <v>1.5</v>
      </c>
      <c r="BB136">
        <v>1.7</v>
      </c>
      <c r="BC136">
        <v>1.7</v>
      </c>
      <c r="BD136">
        <v>1.6</v>
      </c>
      <c r="BE136">
        <v>1.6</v>
      </c>
    </row>
    <row r="137" spans="1:57" x14ac:dyDescent="0.25">
      <c r="A137" s="20" t="s">
        <v>1493</v>
      </c>
      <c r="B137">
        <v>0.5</v>
      </c>
      <c r="C137">
        <v>0.5</v>
      </c>
      <c r="D137">
        <v>0.5</v>
      </c>
      <c r="E137">
        <v>0.5</v>
      </c>
      <c r="F137">
        <v>0.5</v>
      </c>
      <c r="G137">
        <v>0.6</v>
      </c>
      <c r="H137">
        <v>0.6</v>
      </c>
      <c r="I137">
        <v>0.6</v>
      </c>
      <c r="J137">
        <v>0.6</v>
      </c>
      <c r="K137">
        <v>0.6</v>
      </c>
      <c r="L137">
        <v>0.6</v>
      </c>
      <c r="M137">
        <v>0.6</v>
      </c>
      <c r="N137">
        <v>0.6</v>
      </c>
      <c r="O137">
        <v>0.6</v>
      </c>
      <c r="P137">
        <v>0.5</v>
      </c>
      <c r="Q137">
        <v>0.6</v>
      </c>
      <c r="R137">
        <v>0.6</v>
      </c>
      <c r="S137">
        <v>0.6</v>
      </c>
      <c r="T137">
        <v>0.5</v>
      </c>
      <c r="U137">
        <v>0.5</v>
      </c>
      <c r="V137">
        <v>0.5</v>
      </c>
      <c r="W137">
        <v>0.5</v>
      </c>
      <c r="X137">
        <v>0.5</v>
      </c>
      <c r="Y137">
        <v>0.5</v>
      </c>
      <c r="Z137">
        <v>0.5</v>
      </c>
      <c r="AA137">
        <v>0.5</v>
      </c>
      <c r="AD137" t="s">
        <v>1601</v>
      </c>
      <c r="AE137">
        <v>6.8</v>
      </c>
      <c r="AF137">
        <v>6.9</v>
      </c>
      <c r="AG137">
        <v>6.8</v>
      </c>
      <c r="AH137">
        <v>6.2</v>
      </c>
      <c r="AI137">
        <v>5.5</v>
      </c>
      <c r="AJ137">
        <v>5.7</v>
      </c>
      <c r="AK137">
        <v>6</v>
      </c>
      <c r="AL137">
        <v>6</v>
      </c>
      <c r="AM137">
        <v>6.2</v>
      </c>
      <c r="AN137">
        <v>6.3</v>
      </c>
      <c r="AO137">
        <v>6.1</v>
      </c>
      <c r="AP137">
        <v>4.4000000000000004</v>
      </c>
      <c r="AQ137">
        <v>4.5</v>
      </c>
      <c r="AR137">
        <v>4.5</v>
      </c>
      <c r="AS137">
        <v>4.2</v>
      </c>
      <c r="AT137">
        <v>4.0999999999999996</v>
      </c>
      <c r="AU137">
        <v>3.8</v>
      </c>
      <c r="AV137">
        <v>4.3</v>
      </c>
      <c r="AW137">
        <v>4.5</v>
      </c>
      <c r="AX137">
        <v>3</v>
      </c>
      <c r="AY137">
        <v>2.7</v>
      </c>
      <c r="AZ137">
        <v>3.3</v>
      </c>
      <c r="BA137">
        <v>3.4</v>
      </c>
      <c r="BB137">
        <v>3.3</v>
      </c>
      <c r="BC137">
        <v>2.8</v>
      </c>
      <c r="BD137">
        <v>2.8</v>
      </c>
      <c r="BE137">
        <v>1.3</v>
      </c>
    </row>
    <row r="138" spans="1:57" ht="24" x14ac:dyDescent="0.25">
      <c r="A138" s="20" t="s">
        <v>1494</v>
      </c>
      <c r="B138">
        <v>0.4</v>
      </c>
      <c r="C138">
        <v>0.3</v>
      </c>
      <c r="D138">
        <v>0.3</v>
      </c>
      <c r="E138">
        <v>0.3</v>
      </c>
      <c r="F138">
        <v>0.3</v>
      </c>
      <c r="G138">
        <v>0.3</v>
      </c>
      <c r="H138">
        <v>0.3</v>
      </c>
      <c r="I138">
        <v>0.3</v>
      </c>
      <c r="J138">
        <v>0.4</v>
      </c>
      <c r="K138">
        <v>0.3</v>
      </c>
      <c r="L138">
        <v>0.2</v>
      </c>
      <c r="M138">
        <v>0.2</v>
      </c>
      <c r="N138">
        <v>0.2</v>
      </c>
      <c r="O138">
        <v>0.2</v>
      </c>
      <c r="P138">
        <v>0.2</v>
      </c>
      <c r="Q138">
        <v>0.2</v>
      </c>
      <c r="R138">
        <v>0.2</v>
      </c>
      <c r="S138">
        <v>0.2</v>
      </c>
      <c r="T138">
        <v>0.2</v>
      </c>
      <c r="U138">
        <v>0.1</v>
      </c>
      <c r="V138">
        <v>0.2</v>
      </c>
      <c r="W138">
        <v>0.2</v>
      </c>
      <c r="X138">
        <v>0.2</v>
      </c>
      <c r="Y138">
        <v>0.2</v>
      </c>
      <c r="Z138">
        <v>0.2</v>
      </c>
      <c r="AA138">
        <v>0.2</v>
      </c>
      <c r="AD138" t="s">
        <v>1723</v>
      </c>
      <c r="AE138">
        <v>1.5</v>
      </c>
      <c r="AF138">
        <v>1.4</v>
      </c>
      <c r="AG138">
        <v>1.5</v>
      </c>
      <c r="AH138">
        <v>1.6</v>
      </c>
      <c r="AI138">
        <v>1.7</v>
      </c>
      <c r="AJ138">
        <v>1.8</v>
      </c>
      <c r="AK138">
        <v>1.7</v>
      </c>
      <c r="AL138">
        <v>1.6</v>
      </c>
      <c r="AM138">
        <v>1.5</v>
      </c>
      <c r="AN138">
        <v>1.4</v>
      </c>
      <c r="AO138">
        <v>1.7</v>
      </c>
      <c r="AP138">
        <v>1.4</v>
      </c>
      <c r="AQ138">
        <v>1.7</v>
      </c>
      <c r="AR138">
        <v>1.6</v>
      </c>
      <c r="AS138">
        <v>1.6</v>
      </c>
      <c r="AT138">
        <v>1.9</v>
      </c>
      <c r="AU138">
        <v>2.1</v>
      </c>
      <c r="AV138">
        <v>1.5</v>
      </c>
      <c r="AW138">
        <v>1.5</v>
      </c>
      <c r="AX138">
        <v>1</v>
      </c>
      <c r="AY138">
        <v>1.5</v>
      </c>
      <c r="AZ138">
        <v>1.3</v>
      </c>
      <c r="BA138">
        <v>1.2</v>
      </c>
      <c r="BB138">
        <v>1.3</v>
      </c>
      <c r="BC138">
        <v>1.3</v>
      </c>
      <c r="BD138">
        <v>1.3</v>
      </c>
      <c r="BE138">
        <v>1.2</v>
      </c>
    </row>
    <row r="139" spans="1:57" ht="24" x14ac:dyDescent="0.25">
      <c r="A139" s="20" t="s">
        <v>1495</v>
      </c>
      <c r="B139" t="s">
        <v>1537</v>
      </c>
      <c r="C139" t="s">
        <v>1537</v>
      </c>
      <c r="D139" t="s">
        <v>1537</v>
      </c>
      <c r="E139" t="s">
        <v>1537</v>
      </c>
      <c r="F139" t="s">
        <v>1537</v>
      </c>
      <c r="G139" t="s">
        <v>1537</v>
      </c>
      <c r="H139" t="s">
        <v>1537</v>
      </c>
      <c r="I139" t="s">
        <v>1537</v>
      </c>
      <c r="J139" t="s">
        <v>1537</v>
      </c>
      <c r="K139" t="s">
        <v>1537</v>
      </c>
      <c r="L139" t="s">
        <v>1537</v>
      </c>
      <c r="M139" t="s">
        <v>1537</v>
      </c>
      <c r="N139" t="s">
        <v>1537</v>
      </c>
      <c r="O139" t="s">
        <v>1537</v>
      </c>
      <c r="P139" t="s">
        <v>1537</v>
      </c>
      <c r="Q139" t="s">
        <v>1537</v>
      </c>
      <c r="R139" t="s">
        <v>1537</v>
      </c>
      <c r="S139" t="s">
        <v>1537</v>
      </c>
      <c r="T139" t="s">
        <v>1537</v>
      </c>
      <c r="U139" t="s">
        <v>1537</v>
      </c>
      <c r="V139" t="s">
        <v>1537</v>
      </c>
      <c r="W139" t="s">
        <v>1537</v>
      </c>
      <c r="X139" t="s">
        <v>1537</v>
      </c>
      <c r="Y139" t="s">
        <v>1537</v>
      </c>
      <c r="Z139" t="s">
        <v>1537</v>
      </c>
      <c r="AA139" t="s">
        <v>1537</v>
      </c>
      <c r="AD139" t="s">
        <v>1452</v>
      </c>
      <c r="AE139">
        <v>1.5</v>
      </c>
      <c r="AF139">
        <v>1.4</v>
      </c>
      <c r="AG139">
        <v>1.5</v>
      </c>
      <c r="AH139">
        <v>1.3</v>
      </c>
      <c r="AI139">
        <v>1.5</v>
      </c>
      <c r="AJ139">
        <v>1.5</v>
      </c>
      <c r="AK139">
        <v>1.6</v>
      </c>
      <c r="AL139">
        <v>1.5</v>
      </c>
      <c r="AM139">
        <v>1.6</v>
      </c>
      <c r="AN139">
        <v>1.5</v>
      </c>
      <c r="AO139">
        <v>1.4</v>
      </c>
      <c r="AP139">
        <v>1.3</v>
      </c>
      <c r="AQ139">
        <v>1.3</v>
      </c>
      <c r="AR139">
        <v>1.4</v>
      </c>
      <c r="AS139">
        <v>1.4</v>
      </c>
      <c r="AT139">
        <v>1.3</v>
      </c>
      <c r="AU139">
        <v>1.2</v>
      </c>
      <c r="AV139">
        <v>1.2</v>
      </c>
      <c r="AW139">
        <v>1.1000000000000001</v>
      </c>
      <c r="AX139">
        <v>1</v>
      </c>
      <c r="AY139">
        <v>1.1000000000000001</v>
      </c>
      <c r="AZ139">
        <v>1.2</v>
      </c>
      <c r="BA139">
        <v>1.1000000000000001</v>
      </c>
      <c r="BB139">
        <v>1.1000000000000001</v>
      </c>
      <c r="BC139">
        <v>1</v>
      </c>
      <c r="BD139">
        <v>1</v>
      </c>
      <c r="BE139">
        <v>1</v>
      </c>
    </row>
    <row r="140" spans="1:57" ht="24" x14ac:dyDescent="0.25">
      <c r="A140" s="30" t="s">
        <v>1496</v>
      </c>
      <c r="B140">
        <v>219.4</v>
      </c>
      <c r="C140">
        <v>220.2</v>
      </c>
      <c r="D140">
        <v>230.6</v>
      </c>
      <c r="E140">
        <v>225.8</v>
      </c>
      <c r="F140">
        <v>232.3</v>
      </c>
      <c r="G140">
        <v>236.9</v>
      </c>
      <c r="H140">
        <v>241.3</v>
      </c>
      <c r="I140">
        <v>235.6</v>
      </c>
      <c r="J140">
        <v>218.2</v>
      </c>
      <c r="K140">
        <v>221.5</v>
      </c>
      <c r="L140">
        <v>227.4</v>
      </c>
      <c r="M140">
        <v>203.4</v>
      </c>
      <c r="N140">
        <v>204.7</v>
      </c>
      <c r="O140">
        <v>209.9</v>
      </c>
      <c r="P140">
        <v>225.4</v>
      </c>
      <c r="Q140">
        <v>230.7</v>
      </c>
      <c r="R140">
        <v>236.3</v>
      </c>
      <c r="S140">
        <v>244.6</v>
      </c>
      <c r="T140">
        <v>257.5</v>
      </c>
      <c r="U140">
        <v>253.5</v>
      </c>
      <c r="V140">
        <v>267.60000000000002</v>
      </c>
      <c r="W140">
        <v>276.39999999999998</v>
      </c>
      <c r="X140">
        <v>276.2</v>
      </c>
      <c r="Y140">
        <v>299.8</v>
      </c>
      <c r="Z140">
        <v>307.10000000000002</v>
      </c>
      <c r="AA140">
        <v>291.7</v>
      </c>
      <c r="AD140" t="s">
        <v>1451</v>
      </c>
      <c r="AE140">
        <v>0.6</v>
      </c>
      <c r="AF140">
        <v>0.8</v>
      </c>
      <c r="AG140">
        <v>0.8</v>
      </c>
      <c r="AH140">
        <v>0.9</v>
      </c>
      <c r="AI140">
        <v>0.9</v>
      </c>
      <c r="AJ140">
        <v>0.9</v>
      </c>
      <c r="AK140">
        <v>0.9</v>
      </c>
      <c r="AL140">
        <v>1</v>
      </c>
      <c r="AM140">
        <v>0.9</v>
      </c>
      <c r="AN140">
        <v>0.9</v>
      </c>
      <c r="AO140">
        <v>0.9</v>
      </c>
      <c r="AP140">
        <v>0.7</v>
      </c>
      <c r="AQ140">
        <v>0.7</v>
      </c>
      <c r="AR140">
        <v>1.1000000000000001</v>
      </c>
      <c r="AS140">
        <v>1</v>
      </c>
      <c r="AT140">
        <v>1</v>
      </c>
      <c r="AU140">
        <v>1</v>
      </c>
      <c r="AV140">
        <v>1</v>
      </c>
      <c r="AW140">
        <v>1.2</v>
      </c>
      <c r="AX140">
        <v>0.9</v>
      </c>
      <c r="AY140">
        <v>1.2</v>
      </c>
      <c r="AZ140">
        <v>1.3</v>
      </c>
      <c r="BA140">
        <v>1.5</v>
      </c>
      <c r="BB140">
        <v>1.4</v>
      </c>
      <c r="BC140">
        <v>1</v>
      </c>
      <c r="BD140">
        <v>0.9</v>
      </c>
      <c r="BE140">
        <v>0.9</v>
      </c>
    </row>
    <row r="141" spans="1:57" x14ac:dyDescent="0.25">
      <c r="A141" s="30" t="s">
        <v>1497</v>
      </c>
      <c r="B141">
        <v>103.5</v>
      </c>
      <c r="C141">
        <v>117.6</v>
      </c>
      <c r="D141">
        <v>107.9</v>
      </c>
      <c r="E141">
        <v>97.8</v>
      </c>
      <c r="F141">
        <v>96.7</v>
      </c>
      <c r="G141">
        <v>98.5</v>
      </c>
      <c r="H141">
        <v>99.7</v>
      </c>
      <c r="I141">
        <v>107</v>
      </c>
      <c r="J141">
        <v>110.5</v>
      </c>
      <c r="K141">
        <v>102.7</v>
      </c>
      <c r="L141">
        <v>101.7</v>
      </c>
      <c r="M141">
        <v>93.7</v>
      </c>
      <c r="N141">
        <v>94.4</v>
      </c>
      <c r="O141">
        <v>98.3</v>
      </c>
      <c r="P141">
        <v>108.4</v>
      </c>
      <c r="Q141">
        <v>113.1</v>
      </c>
      <c r="R141">
        <v>114.1</v>
      </c>
      <c r="S141">
        <v>115.3</v>
      </c>
      <c r="T141">
        <v>114.3</v>
      </c>
      <c r="U141">
        <v>106.4</v>
      </c>
      <c r="V141">
        <v>117</v>
      </c>
      <c r="W141">
        <v>111.7</v>
      </c>
      <c r="X141">
        <v>105.8</v>
      </c>
      <c r="Y141">
        <v>99.8</v>
      </c>
      <c r="Z141">
        <v>103.2</v>
      </c>
      <c r="AA141">
        <v>110.8</v>
      </c>
      <c r="AD141" t="s">
        <v>1453</v>
      </c>
      <c r="AE141">
        <v>0.5</v>
      </c>
      <c r="AF141">
        <v>0.5</v>
      </c>
      <c r="AG141">
        <v>0.5</v>
      </c>
      <c r="AH141">
        <v>0.5</v>
      </c>
      <c r="AI141">
        <v>0.5</v>
      </c>
      <c r="AJ141">
        <v>0.6</v>
      </c>
      <c r="AK141">
        <v>0.6</v>
      </c>
      <c r="AL141">
        <v>0.6</v>
      </c>
      <c r="AM141">
        <v>0.6</v>
      </c>
      <c r="AN141">
        <v>0.6</v>
      </c>
      <c r="AO141">
        <v>0.6</v>
      </c>
      <c r="AP141">
        <v>0.6</v>
      </c>
      <c r="AQ141">
        <v>0.6</v>
      </c>
      <c r="AR141">
        <v>0.6</v>
      </c>
      <c r="AS141">
        <v>0.5</v>
      </c>
      <c r="AT141">
        <v>0.6</v>
      </c>
      <c r="AU141">
        <v>0.6</v>
      </c>
      <c r="AV141">
        <v>0.6</v>
      </c>
      <c r="AW141">
        <v>0.5</v>
      </c>
      <c r="AX141">
        <v>0.5</v>
      </c>
      <c r="AY141">
        <v>0.5</v>
      </c>
      <c r="AZ141">
        <v>0.5</v>
      </c>
      <c r="BA141">
        <v>0.5</v>
      </c>
      <c r="BB141">
        <v>0.5</v>
      </c>
      <c r="BC141">
        <v>0.5</v>
      </c>
      <c r="BD141">
        <v>0.5</v>
      </c>
      <c r="BE141">
        <v>0.5</v>
      </c>
    </row>
    <row r="142" spans="1:57" x14ac:dyDescent="0.25">
      <c r="A142" s="30" t="s">
        <v>1498</v>
      </c>
      <c r="B142">
        <v>780.8</v>
      </c>
      <c r="C142">
        <v>785.3</v>
      </c>
      <c r="D142">
        <v>784.3</v>
      </c>
      <c r="E142">
        <v>769.1</v>
      </c>
      <c r="F142">
        <v>772.9</v>
      </c>
      <c r="G142">
        <v>765.1</v>
      </c>
      <c r="H142">
        <v>756.5</v>
      </c>
      <c r="I142">
        <v>740.5</v>
      </c>
      <c r="J142">
        <v>725.8</v>
      </c>
      <c r="K142">
        <v>713.9</v>
      </c>
      <c r="L142">
        <v>704.2</v>
      </c>
      <c r="M142">
        <v>695.8</v>
      </c>
      <c r="N142">
        <v>684.2</v>
      </c>
      <c r="O142">
        <v>684.4</v>
      </c>
      <c r="P142">
        <v>675.8</v>
      </c>
      <c r="Q142">
        <v>680.9</v>
      </c>
      <c r="R142">
        <v>682.1</v>
      </c>
      <c r="S142">
        <v>686</v>
      </c>
      <c r="T142">
        <v>695.1</v>
      </c>
      <c r="U142">
        <v>690.4</v>
      </c>
      <c r="V142">
        <v>692.1</v>
      </c>
      <c r="W142">
        <v>672.1</v>
      </c>
      <c r="X142">
        <v>666.1</v>
      </c>
      <c r="Y142">
        <v>658.8</v>
      </c>
      <c r="Z142">
        <v>659.1</v>
      </c>
      <c r="AA142">
        <v>655.7</v>
      </c>
      <c r="AD142" t="s">
        <v>1923</v>
      </c>
      <c r="AE142">
        <v>0.4</v>
      </c>
      <c r="AF142">
        <v>0.3</v>
      </c>
      <c r="AG142">
        <v>0.3</v>
      </c>
      <c r="AH142">
        <v>0.3</v>
      </c>
      <c r="AI142">
        <v>0.3</v>
      </c>
      <c r="AJ142">
        <v>0.3</v>
      </c>
      <c r="AK142">
        <v>0.3</v>
      </c>
      <c r="AL142">
        <v>0.3</v>
      </c>
      <c r="AM142">
        <v>0.4</v>
      </c>
      <c r="AN142">
        <v>0.3</v>
      </c>
      <c r="AO142">
        <v>0.2</v>
      </c>
      <c r="AP142">
        <v>0.2</v>
      </c>
      <c r="AQ142">
        <v>0.2</v>
      </c>
      <c r="AR142">
        <v>0.2</v>
      </c>
      <c r="AS142">
        <v>0.2</v>
      </c>
      <c r="AT142">
        <v>0.2</v>
      </c>
      <c r="AU142">
        <v>0.2</v>
      </c>
      <c r="AV142">
        <v>0.2</v>
      </c>
      <c r="AW142">
        <v>0.2</v>
      </c>
      <c r="AX142">
        <v>0.1</v>
      </c>
      <c r="AY142">
        <v>0.2</v>
      </c>
      <c r="AZ142">
        <v>0.2</v>
      </c>
      <c r="BA142">
        <v>0.2</v>
      </c>
      <c r="BB142">
        <v>0.2</v>
      </c>
      <c r="BC142">
        <v>0.2</v>
      </c>
      <c r="BD142">
        <v>0.2</v>
      </c>
      <c r="BE142">
        <v>0.2</v>
      </c>
    </row>
    <row r="143" spans="1:57" x14ac:dyDescent="0.25">
      <c r="A143" s="20" t="s">
        <v>1499</v>
      </c>
      <c r="B143">
        <v>164.2</v>
      </c>
      <c r="C143">
        <v>164.4</v>
      </c>
      <c r="D143">
        <v>169.2</v>
      </c>
      <c r="E143">
        <v>171.6</v>
      </c>
      <c r="F143">
        <v>174.7</v>
      </c>
      <c r="G143">
        <v>178.7</v>
      </c>
      <c r="H143">
        <v>177.5</v>
      </c>
      <c r="I143">
        <v>174.1</v>
      </c>
      <c r="J143">
        <v>172.3</v>
      </c>
      <c r="K143">
        <v>172.4</v>
      </c>
      <c r="L143">
        <v>170.6</v>
      </c>
      <c r="M143">
        <v>169.6</v>
      </c>
      <c r="N143">
        <v>169.8</v>
      </c>
      <c r="O143">
        <v>170</v>
      </c>
      <c r="P143">
        <v>166.8</v>
      </c>
      <c r="Q143">
        <v>168.9</v>
      </c>
      <c r="R143">
        <v>171.6</v>
      </c>
      <c r="S143">
        <v>174.5</v>
      </c>
      <c r="T143">
        <v>173.8</v>
      </c>
      <c r="U143">
        <v>173</v>
      </c>
      <c r="V143">
        <v>171.3</v>
      </c>
      <c r="W143">
        <v>168.9</v>
      </c>
      <c r="X143">
        <v>166.7</v>
      </c>
      <c r="Y143">
        <v>165.5</v>
      </c>
      <c r="Z143">
        <v>164.2</v>
      </c>
      <c r="AA143">
        <v>166.5</v>
      </c>
      <c r="AD143" t="s">
        <v>1924</v>
      </c>
      <c r="AE143" t="s">
        <v>1539</v>
      </c>
      <c r="AF143" t="s">
        <v>1539</v>
      </c>
      <c r="AG143" t="s">
        <v>1539</v>
      </c>
      <c r="AH143" t="s">
        <v>1539</v>
      </c>
      <c r="AI143" t="s">
        <v>1539</v>
      </c>
      <c r="AJ143" t="s">
        <v>1539</v>
      </c>
      <c r="AK143" t="s">
        <v>1539</v>
      </c>
      <c r="AL143" t="s">
        <v>1539</v>
      </c>
      <c r="AM143" t="s">
        <v>1539</v>
      </c>
      <c r="AN143" t="s">
        <v>1539</v>
      </c>
      <c r="AO143" t="s">
        <v>1539</v>
      </c>
      <c r="AP143" t="s">
        <v>1539</v>
      </c>
      <c r="AQ143" t="s">
        <v>1539</v>
      </c>
      <c r="AR143" t="s">
        <v>1539</v>
      </c>
      <c r="AS143" t="s">
        <v>1539</v>
      </c>
      <c r="AT143" t="s">
        <v>1539</v>
      </c>
      <c r="AU143" t="s">
        <v>1539</v>
      </c>
      <c r="AV143" t="s">
        <v>1539</v>
      </c>
      <c r="AW143" t="s">
        <v>1539</v>
      </c>
      <c r="AX143" t="s">
        <v>1539</v>
      </c>
      <c r="AY143" t="s">
        <v>1539</v>
      </c>
      <c r="AZ143" t="s">
        <v>1539</v>
      </c>
      <c r="BA143" t="s">
        <v>1539</v>
      </c>
      <c r="BB143" t="s">
        <v>1539</v>
      </c>
      <c r="BC143" t="s">
        <v>1539</v>
      </c>
      <c r="BD143" t="s">
        <v>1539</v>
      </c>
      <c r="BE143" t="s">
        <v>1539</v>
      </c>
    </row>
    <row r="144" spans="1:57" x14ac:dyDescent="0.25">
      <c r="A144" s="20" t="s">
        <v>1474</v>
      </c>
      <c r="B144">
        <v>194.1</v>
      </c>
      <c r="C144">
        <v>196.5</v>
      </c>
      <c r="D144">
        <v>195.3</v>
      </c>
      <c r="E144">
        <v>192.8</v>
      </c>
      <c r="F144">
        <v>192.3</v>
      </c>
      <c r="G144">
        <v>184.9</v>
      </c>
      <c r="H144">
        <v>181.8</v>
      </c>
      <c r="I144">
        <v>179.2</v>
      </c>
      <c r="J144">
        <v>174.5</v>
      </c>
      <c r="K144">
        <v>172.9</v>
      </c>
      <c r="L144">
        <v>169.7</v>
      </c>
      <c r="M144">
        <v>169.8</v>
      </c>
      <c r="N144">
        <v>163.4</v>
      </c>
      <c r="O144">
        <v>162.30000000000001</v>
      </c>
      <c r="P144">
        <v>160.19999999999999</v>
      </c>
      <c r="Q144">
        <v>159.69999999999999</v>
      </c>
      <c r="R144">
        <v>162.19999999999999</v>
      </c>
      <c r="S144">
        <v>159.80000000000001</v>
      </c>
      <c r="T144">
        <v>162.69999999999999</v>
      </c>
      <c r="U144">
        <v>156.1</v>
      </c>
      <c r="V144">
        <v>152.30000000000001</v>
      </c>
      <c r="W144">
        <v>154.5</v>
      </c>
      <c r="X144">
        <v>156.19999999999999</v>
      </c>
      <c r="Y144">
        <v>159.19999999999999</v>
      </c>
      <c r="Z144">
        <v>162.5</v>
      </c>
      <c r="AA144">
        <v>162.4</v>
      </c>
      <c r="AD144" t="s">
        <v>280</v>
      </c>
      <c r="AE144" t="s">
        <v>1539</v>
      </c>
      <c r="AF144" t="s">
        <v>1539</v>
      </c>
      <c r="AG144" t="s">
        <v>1539</v>
      </c>
      <c r="AH144" t="s">
        <v>1539</v>
      </c>
      <c r="AI144" t="s">
        <v>1539</v>
      </c>
      <c r="AJ144" t="s">
        <v>1539</v>
      </c>
      <c r="AK144" t="s">
        <v>1539</v>
      </c>
      <c r="AL144" t="s">
        <v>1539</v>
      </c>
      <c r="AM144" t="s">
        <v>1539</v>
      </c>
      <c r="AN144" t="s">
        <v>1539</v>
      </c>
      <c r="AO144" t="s">
        <v>1539</v>
      </c>
      <c r="AP144" t="s">
        <v>1539</v>
      </c>
      <c r="AQ144" t="s">
        <v>1539</v>
      </c>
      <c r="AR144" t="s">
        <v>1539</v>
      </c>
      <c r="AS144" t="s">
        <v>1539</v>
      </c>
      <c r="AT144" t="s">
        <v>1539</v>
      </c>
      <c r="AU144" t="s">
        <v>1539</v>
      </c>
      <c r="AV144" t="s">
        <v>1539</v>
      </c>
      <c r="AW144" t="s">
        <v>1539</v>
      </c>
      <c r="AX144" t="s">
        <v>1539</v>
      </c>
      <c r="AY144" t="s">
        <v>1539</v>
      </c>
      <c r="AZ144" t="s">
        <v>1539</v>
      </c>
      <c r="BA144" t="s">
        <v>1539</v>
      </c>
      <c r="BB144" t="s">
        <v>1539</v>
      </c>
      <c r="BC144" t="s">
        <v>1539</v>
      </c>
      <c r="BD144" t="s">
        <v>1539</v>
      </c>
      <c r="BE144" t="s">
        <v>1539</v>
      </c>
    </row>
    <row r="145" spans="1:57" x14ac:dyDescent="0.25">
      <c r="A145" s="20" t="s">
        <v>1500</v>
      </c>
      <c r="B145">
        <v>179.6</v>
      </c>
      <c r="C145">
        <v>181.7</v>
      </c>
      <c r="D145">
        <v>181.4</v>
      </c>
      <c r="E145">
        <v>179.2</v>
      </c>
      <c r="F145">
        <v>179</v>
      </c>
      <c r="G145">
        <v>174.2</v>
      </c>
      <c r="H145">
        <v>170.6</v>
      </c>
      <c r="I145">
        <v>161.1</v>
      </c>
      <c r="J145">
        <v>151.4</v>
      </c>
      <c r="K145">
        <v>144.69999999999999</v>
      </c>
      <c r="L145">
        <v>141.4</v>
      </c>
      <c r="M145">
        <v>136.80000000000001</v>
      </c>
      <c r="N145">
        <v>134.9</v>
      </c>
      <c r="O145">
        <v>137.4</v>
      </c>
      <c r="P145">
        <v>134.9</v>
      </c>
      <c r="Q145">
        <v>134.30000000000001</v>
      </c>
      <c r="R145">
        <v>132.30000000000001</v>
      </c>
      <c r="S145">
        <v>130.30000000000001</v>
      </c>
      <c r="T145">
        <v>128.4</v>
      </c>
      <c r="U145">
        <v>126.5</v>
      </c>
      <c r="V145">
        <v>127.6</v>
      </c>
      <c r="W145">
        <v>119</v>
      </c>
      <c r="X145">
        <v>120.8</v>
      </c>
      <c r="Y145">
        <v>116.7</v>
      </c>
      <c r="Z145">
        <v>116.6</v>
      </c>
      <c r="AA145">
        <v>115.7</v>
      </c>
      <c r="AD145" t="s">
        <v>1925</v>
      </c>
      <c r="AE145">
        <v>219.4</v>
      </c>
      <c r="AF145">
        <v>220.2</v>
      </c>
      <c r="AG145">
        <v>230.6</v>
      </c>
      <c r="AH145">
        <v>225.8</v>
      </c>
      <c r="AI145">
        <v>232.3</v>
      </c>
      <c r="AJ145">
        <v>236.9</v>
      </c>
      <c r="AK145">
        <v>241.3</v>
      </c>
      <c r="AL145">
        <v>235.6</v>
      </c>
      <c r="AM145">
        <v>218.2</v>
      </c>
      <c r="AN145">
        <v>221.5</v>
      </c>
      <c r="AO145">
        <v>227.4</v>
      </c>
      <c r="AP145">
        <v>203.4</v>
      </c>
      <c r="AQ145">
        <v>204.7</v>
      </c>
      <c r="AR145">
        <v>209.9</v>
      </c>
      <c r="AS145">
        <v>225.4</v>
      </c>
      <c r="AT145">
        <v>230.7</v>
      </c>
      <c r="AU145">
        <v>236.3</v>
      </c>
      <c r="AV145">
        <v>244.6</v>
      </c>
      <c r="AW145">
        <v>257.5</v>
      </c>
      <c r="AX145">
        <v>253.5</v>
      </c>
      <c r="AY145">
        <v>280.3</v>
      </c>
      <c r="AZ145">
        <v>288.5</v>
      </c>
      <c r="BA145">
        <v>287.7</v>
      </c>
      <c r="BB145">
        <v>316.39999999999998</v>
      </c>
      <c r="BC145">
        <v>324.3</v>
      </c>
      <c r="BD145">
        <v>310.39999999999998</v>
      </c>
      <c r="BE145">
        <v>309.3</v>
      </c>
    </row>
    <row r="146" spans="1:57" x14ac:dyDescent="0.25">
      <c r="A146" s="20" t="s">
        <v>1501</v>
      </c>
      <c r="B146">
        <v>37.200000000000003</v>
      </c>
      <c r="C146">
        <v>38.9</v>
      </c>
      <c r="D146">
        <v>37.5</v>
      </c>
      <c r="E146">
        <v>39.200000000000003</v>
      </c>
      <c r="F146">
        <v>42</v>
      </c>
      <c r="G146">
        <v>43.3</v>
      </c>
      <c r="H146">
        <v>42.6</v>
      </c>
      <c r="I146">
        <v>44.7</v>
      </c>
      <c r="J146">
        <v>48.7</v>
      </c>
      <c r="K146">
        <v>49.3</v>
      </c>
      <c r="L146">
        <v>50</v>
      </c>
      <c r="M146">
        <v>52.2</v>
      </c>
      <c r="N146">
        <v>53.5</v>
      </c>
      <c r="O146">
        <v>54.4</v>
      </c>
      <c r="P146">
        <v>53.1</v>
      </c>
      <c r="Q146">
        <v>56.3</v>
      </c>
      <c r="R146">
        <v>57</v>
      </c>
      <c r="S146">
        <v>62</v>
      </c>
      <c r="T146">
        <v>61.4</v>
      </c>
      <c r="U146">
        <v>60.4</v>
      </c>
      <c r="V146">
        <v>62.1</v>
      </c>
      <c r="W146">
        <v>63</v>
      </c>
      <c r="X146">
        <v>65.599999999999994</v>
      </c>
      <c r="Y146">
        <v>63.3</v>
      </c>
      <c r="Z146">
        <v>62.9</v>
      </c>
      <c r="AA146">
        <v>66.3</v>
      </c>
      <c r="AD146" t="s">
        <v>1926</v>
      </c>
      <c r="AE146">
        <v>103.5</v>
      </c>
      <c r="AF146">
        <v>117.6</v>
      </c>
      <c r="AG146">
        <v>107.9</v>
      </c>
      <c r="AH146">
        <v>97.8</v>
      </c>
      <c r="AI146">
        <v>96.7</v>
      </c>
      <c r="AJ146">
        <v>98.5</v>
      </c>
      <c r="AK146">
        <v>99.7</v>
      </c>
      <c r="AL146">
        <v>107</v>
      </c>
      <c r="AM146">
        <v>110.5</v>
      </c>
      <c r="AN146">
        <v>102.7</v>
      </c>
      <c r="AO146">
        <v>101.7</v>
      </c>
      <c r="AP146">
        <v>93.7</v>
      </c>
      <c r="AQ146">
        <v>94.4</v>
      </c>
      <c r="AR146">
        <v>98.3</v>
      </c>
      <c r="AS146">
        <v>108.4</v>
      </c>
      <c r="AT146">
        <v>113.1</v>
      </c>
      <c r="AU146">
        <v>114.1</v>
      </c>
      <c r="AV146">
        <v>115.3</v>
      </c>
      <c r="AW146">
        <v>114.3</v>
      </c>
      <c r="AX146">
        <v>106.4</v>
      </c>
      <c r="AY146">
        <v>117</v>
      </c>
      <c r="AZ146">
        <v>111.7</v>
      </c>
      <c r="BA146">
        <v>105.8</v>
      </c>
      <c r="BB146">
        <v>99.8</v>
      </c>
      <c r="BC146">
        <v>103.4</v>
      </c>
      <c r="BD146">
        <v>110.9</v>
      </c>
      <c r="BE146">
        <v>116.6</v>
      </c>
    </row>
    <row r="147" spans="1:57" x14ac:dyDescent="0.25">
      <c r="A147" s="20" t="s">
        <v>1502</v>
      </c>
      <c r="B147">
        <v>96.5</v>
      </c>
      <c r="C147">
        <v>93.2</v>
      </c>
      <c r="D147">
        <v>90.7</v>
      </c>
      <c r="E147">
        <v>77.3</v>
      </c>
      <c r="F147">
        <v>77.599999999999994</v>
      </c>
      <c r="G147">
        <v>76.400000000000006</v>
      </c>
      <c r="H147">
        <v>76</v>
      </c>
      <c r="I147">
        <v>75.400000000000006</v>
      </c>
      <c r="J147">
        <v>75.7</v>
      </c>
      <c r="K147">
        <v>71.2</v>
      </c>
      <c r="L147">
        <v>68.3</v>
      </c>
      <c r="M147">
        <v>68</v>
      </c>
      <c r="N147">
        <v>63.8</v>
      </c>
      <c r="O147">
        <v>64</v>
      </c>
      <c r="P147">
        <v>65.3</v>
      </c>
      <c r="Q147">
        <v>64.099999999999994</v>
      </c>
      <c r="R147">
        <v>65.599999999999994</v>
      </c>
      <c r="S147">
        <v>64.8</v>
      </c>
      <c r="T147">
        <v>75.599999999999994</v>
      </c>
      <c r="U147">
        <v>79.900000000000006</v>
      </c>
      <c r="V147">
        <v>82.3</v>
      </c>
      <c r="W147">
        <v>71.2</v>
      </c>
      <c r="X147">
        <v>66.5</v>
      </c>
      <c r="Y147">
        <v>64.599999999999994</v>
      </c>
      <c r="Z147">
        <v>64.8</v>
      </c>
      <c r="AA147">
        <v>60.9</v>
      </c>
      <c r="AD147" t="s">
        <v>1927</v>
      </c>
      <c r="AE147">
        <v>779.9</v>
      </c>
      <c r="AF147">
        <v>784.6</v>
      </c>
      <c r="AG147">
        <v>783.6</v>
      </c>
      <c r="AH147">
        <v>770</v>
      </c>
      <c r="AI147">
        <v>774.6</v>
      </c>
      <c r="AJ147">
        <v>767.2</v>
      </c>
      <c r="AK147">
        <v>758.7</v>
      </c>
      <c r="AL147">
        <v>743.4</v>
      </c>
      <c r="AM147">
        <v>728.7</v>
      </c>
      <c r="AN147">
        <v>717.6</v>
      </c>
      <c r="AO147">
        <v>709.2</v>
      </c>
      <c r="AP147">
        <v>703</v>
      </c>
      <c r="AQ147">
        <v>694</v>
      </c>
      <c r="AR147">
        <v>693.7</v>
      </c>
      <c r="AS147">
        <v>684.4</v>
      </c>
      <c r="AT147">
        <v>688.6</v>
      </c>
      <c r="AU147">
        <v>688.6</v>
      </c>
      <c r="AV147">
        <v>689.9</v>
      </c>
      <c r="AW147">
        <v>697.8</v>
      </c>
      <c r="AX147">
        <v>692</v>
      </c>
      <c r="AY147">
        <v>693.6</v>
      </c>
      <c r="AZ147">
        <v>672.4</v>
      </c>
      <c r="BA147">
        <v>662.5</v>
      </c>
      <c r="BB147">
        <v>662.6</v>
      </c>
      <c r="BC147">
        <v>664</v>
      </c>
      <c r="BD147">
        <v>665.4</v>
      </c>
      <c r="BE147">
        <v>657.4</v>
      </c>
    </row>
    <row r="148" spans="1:57" x14ac:dyDescent="0.25">
      <c r="A148" s="20" t="s">
        <v>1484</v>
      </c>
      <c r="B148">
        <v>55.5</v>
      </c>
      <c r="C148">
        <v>55.5</v>
      </c>
      <c r="D148">
        <v>53.8</v>
      </c>
      <c r="E148">
        <v>52.6</v>
      </c>
      <c r="F148">
        <v>51.7</v>
      </c>
      <c r="G148">
        <v>50.9</v>
      </c>
      <c r="H148">
        <v>50.5</v>
      </c>
      <c r="I148">
        <v>50.4</v>
      </c>
      <c r="J148">
        <v>49</v>
      </c>
      <c r="K148">
        <v>47.3</v>
      </c>
      <c r="L148">
        <v>47.3</v>
      </c>
      <c r="M148">
        <v>47.1</v>
      </c>
      <c r="N148">
        <v>46.5</v>
      </c>
      <c r="O148">
        <v>46.3</v>
      </c>
      <c r="P148">
        <v>46</v>
      </c>
      <c r="Q148">
        <v>46</v>
      </c>
      <c r="R148">
        <v>46.3</v>
      </c>
      <c r="S148">
        <v>46.2</v>
      </c>
      <c r="T148">
        <v>47</v>
      </c>
      <c r="U148">
        <v>46.2</v>
      </c>
      <c r="V148">
        <v>47</v>
      </c>
      <c r="W148">
        <v>48</v>
      </c>
      <c r="X148">
        <v>46.4</v>
      </c>
      <c r="Y148">
        <v>44.5</v>
      </c>
      <c r="Z148">
        <v>43</v>
      </c>
      <c r="AA148">
        <v>39.9</v>
      </c>
      <c r="AD148" t="s">
        <v>286</v>
      </c>
      <c r="AE148">
        <v>164.2</v>
      </c>
      <c r="AF148">
        <v>164.4</v>
      </c>
      <c r="AG148">
        <v>169.2</v>
      </c>
      <c r="AH148">
        <v>171.6</v>
      </c>
      <c r="AI148">
        <v>174.7</v>
      </c>
      <c r="AJ148">
        <v>178.7</v>
      </c>
      <c r="AK148">
        <v>177.5</v>
      </c>
      <c r="AL148">
        <v>174.1</v>
      </c>
      <c r="AM148">
        <v>172.3</v>
      </c>
      <c r="AN148">
        <v>172.4</v>
      </c>
      <c r="AO148">
        <v>170.6</v>
      </c>
      <c r="AP148">
        <v>169.6</v>
      </c>
      <c r="AQ148">
        <v>169.8</v>
      </c>
      <c r="AR148">
        <v>170</v>
      </c>
      <c r="AS148">
        <v>166.8</v>
      </c>
      <c r="AT148">
        <v>168.9</v>
      </c>
      <c r="AU148">
        <v>171.6</v>
      </c>
      <c r="AV148">
        <v>174.5</v>
      </c>
      <c r="AW148">
        <v>173.8</v>
      </c>
      <c r="AX148">
        <v>173</v>
      </c>
      <c r="AY148">
        <v>171.3</v>
      </c>
      <c r="AZ148">
        <v>168.9</v>
      </c>
      <c r="BA148">
        <v>166.7</v>
      </c>
      <c r="BB148">
        <v>165.5</v>
      </c>
      <c r="BC148">
        <v>164.2</v>
      </c>
      <c r="BD148">
        <v>166.5</v>
      </c>
      <c r="BE148">
        <v>170.1</v>
      </c>
    </row>
    <row r="149" spans="1:57" x14ac:dyDescent="0.25">
      <c r="A149" s="20" t="s">
        <v>1503</v>
      </c>
      <c r="B149">
        <v>15.7</v>
      </c>
      <c r="C149">
        <v>15.9</v>
      </c>
      <c r="D149">
        <v>16.2</v>
      </c>
      <c r="E149">
        <v>16.2</v>
      </c>
      <c r="F149">
        <v>16.399999999999999</v>
      </c>
      <c r="G149">
        <v>16.399999999999999</v>
      </c>
      <c r="H149">
        <v>16.399999999999999</v>
      </c>
      <c r="I149">
        <v>16.5</v>
      </c>
      <c r="J149">
        <v>16.5</v>
      </c>
      <c r="K149">
        <v>16.600000000000001</v>
      </c>
      <c r="L149">
        <v>16.600000000000001</v>
      </c>
      <c r="M149">
        <v>16.3</v>
      </c>
      <c r="N149">
        <v>16.3</v>
      </c>
      <c r="O149">
        <v>16.100000000000001</v>
      </c>
      <c r="P149">
        <v>15.9</v>
      </c>
      <c r="Q149">
        <v>16</v>
      </c>
      <c r="R149">
        <v>16</v>
      </c>
      <c r="S149">
        <v>16</v>
      </c>
      <c r="T149">
        <v>16</v>
      </c>
      <c r="U149">
        <v>15.7</v>
      </c>
      <c r="V149">
        <v>15.5</v>
      </c>
      <c r="W149">
        <v>15.3</v>
      </c>
      <c r="X149">
        <v>15.1</v>
      </c>
      <c r="Y149">
        <v>14.9</v>
      </c>
      <c r="Z149">
        <v>14.8</v>
      </c>
      <c r="AA149">
        <v>14.8</v>
      </c>
      <c r="AD149" t="s">
        <v>1412</v>
      </c>
      <c r="AE149">
        <v>195.2</v>
      </c>
      <c r="AF149">
        <v>197.8</v>
      </c>
      <c r="AG149">
        <v>196.3</v>
      </c>
      <c r="AH149">
        <v>195.3</v>
      </c>
      <c r="AI149">
        <v>195.1</v>
      </c>
      <c r="AJ149">
        <v>188.1</v>
      </c>
      <c r="AK149">
        <v>185</v>
      </c>
      <c r="AL149">
        <v>183.1</v>
      </c>
      <c r="AM149">
        <v>177.6</v>
      </c>
      <c r="AN149">
        <v>176.4</v>
      </c>
      <c r="AO149">
        <v>174.6</v>
      </c>
      <c r="AP149">
        <v>176.2</v>
      </c>
      <c r="AQ149">
        <v>172.2</v>
      </c>
      <c r="AR149">
        <v>170.6</v>
      </c>
      <c r="AS149">
        <v>168.4</v>
      </c>
      <c r="AT149">
        <v>169.1</v>
      </c>
      <c r="AU149">
        <v>171.3</v>
      </c>
      <c r="AV149">
        <v>167.2</v>
      </c>
      <c r="AW149">
        <v>170.8</v>
      </c>
      <c r="AX149">
        <v>163.69999999999999</v>
      </c>
      <c r="AY149">
        <v>160.4</v>
      </c>
      <c r="AZ149">
        <v>162.5</v>
      </c>
      <c r="BA149">
        <v>159.6</v>
      </c>
      <c r="BB149">
        <v>163.80000000000001</v>
      </c>
      <c r="BC149">
        <v>164.3</v>
      </c>
      <c r="BD149">
        <v>166.3</v>
      </c>
      <c r="BE149">
        <v>163.5</v>
      </c>
    </row>
    <row r="150" spans="1:57" x14ac:dyDescent="0.25">
      <c r="A150" s="20" t="s">
        <v>1504</v>
      </c>
      <c r="B150">
        <v>16</v>
      </c>
      <c r="C150">
        <v>16.8</v>
      </c>
      <c r="D150">
        <v>16.899999999999999</v>
      </c>
      <c r="E150">
        <v>16.899999999999999</v>
      </c>
      <c r="F150">
        <v>14.8</v>
      </c>
      <c r="G150">
        <v>15.8</v>
      </c>
      <c r="H150">
        <v>16</v>
      </c>
      <c r="I150">
        <v>15.8</v>
      </c>
      <c r="J150">
        <v>16.100000000000001</v>
      </c>
      <c r="K150">
        <v>18.100000000000001</v>
      </c>
      <c r="L150">
        <v>18.3</v>
      </c>
      <c r="M150">
        <v>15.6</v>
      </c>
      <c r="N150">
        <v>16.5</v>
      </c>
      <c r="O150">
        <v>14.3</v>
      </c>
      <c r="P150">
        <v>14.1</v>
      </c>
      <c r="Q150">
        <v>16.7</v>
      </c>
      <c r="R150">
        <v>12.9</v>
      </c>
      <c r="S150">
        <v>13.9</v>
      </c>
      <c r="T150">
        <v>11.5</v>
      </c>
      <c r="U150">
        <v>14.5</v>
      </c>
      <c r="V150">
        <v>15.9</v>
      </c>
      <c r="W150">
        <v>14.1</v>
      </c>
      <c r="X150">
        <v>11.3</v>
      </c>
      <c r="Y150">
        <v>11.3</v>
      </c>
      <c r="Z150">
        <v>11.4</v>
      </c>
      <c r="AA150">
        <v>11.2</v>
      </c>
      <c r="AD150" t="s">
        <v>290</v>
      </c>
      <c r="AE150">
        <v>179.6</v>
      </c>
      <c r="AF150">
        <v>181.7</v>
      </c>
      <c r="AG150">
        <v>181.4</v>
      </c>
      <c r="AH150">
        <v>179.2</v>
      </c>
      <c r="AI150">
        <v>179</v>
      </c>
      <c r="AJ150">
        <v>174.2</v>
      </c>
      <c r="AK150">
        <v>170.6</v>
      </c>
      <c r="AL150">
        <v>161.1</v>
      </c>
      <c r="AM150">
        <v>151.4</v>
      </c>
      <c r="AN150">
        <v>144.69999999999999</v>
      </c>
      <c r="AO150">
        <v>141.4</v>
      </c>
      <c r="AP150">
        <v>136.80000000000001</v>
      </c>
      <c r="AQ150">
        <v>134.9</v>
      </c>
      <c r="AR150">
        <v>137.4</v>
      </c>
      <c r="AS150">
        <v>134.9</v>
      </c>
      <c r="AT150">
        <v>132.69999999999999</v>
      </c>
      <c r="AU150">
        <v>130.5</v>
      </c>
      <c r="AV150">
        <v>128.19999999999999</v>
      </c>
      <c r="AW150">
        <v>126.1</v>
      </c>
      <c r="AX150">
        <v>123.8</v>
      </c>
      <c r="AY150">
        <v>124.8</v>
      </c>
      <c r="AZ150">
        <v>115.9</v>
      </c>
      <c r="BA150">
        <v>117</v>
      </c>
      <c r="BB150">
        <v>113.3</v>
      </c>
      <c r="BC150">
        <v>112.7</v>
      </c>
      <c r="BD150">
        <v>111.7</v>
      </c>
      <c r="BE150">
        <v>107.7</v>
      </c>
    </row>
    <row r="151" spans="1:57" x14ac:dyDescent="0.25">
      <c r="A151" s="20" t="s">
        <v>1505</v>
      </c>
      <c r="B151">
        <v>8.5</v>
      </c>
      <c r="C151">
        <v>8.6999999999999993</v>
      </c>
      <c r="D151">
        <v>9</v>
      </c>
      <c r="E151">
        <v>8.4</v>
      </c>
      <c r="F151">
        <v>8.1999999999999993</v>
      </c>
      <c r="G151">
        <v>8.1999999999999993</v>
      </c>
      <c r="H151">
        <v>8.5</v>
      </c>
      <c r="I151">
        <v>7.7</v>
      </c>
      <c r="J151">
        <v>7</v>
      </c>
      <c r="K151">
        <v>7.2</v>
      </c>
      <c r="L151">
        <v>7.5</v>
      </c>
      <c r="M151">
        <v>7</v>
      </c>
      <c r="N151">
        <v>7</v>
      </c>
      <c r="O151">
        <v>7.2</v>
      </c>
      <c r="P151">
        <v>7.4</v>
      </c>
      <c r="Q151">
        <v>7.4</v>
      </c>
      <c r="R151">
        <v>6.9</v>
      </c>
      <c r="S151">
        <v>7.2</v>
      </c>
      <c r="T151">
        <v>7.4</v>
      </c>
      <c r="U151">
        <v>7.4</v>
      </c>
      <c r="V151">
        <v>7.1</v>
      </c>
      <c r="W151">
        <v>7.1</v>
      </c>
      <c r="X151">
        <v>6.6</v>
      </c>
      <c r="Y151">
        <v>8</v>
      </c>
      <c r="Z151">
        <v>8.1</v>
      </c>
      <c r="AA151">
        <v>7</v>
      </c>
      <c r="AD151" t="s">
        <v>287</v>
      </c>
      <c r="AE151">
        <v>37.200000000000003</v>
      </c>
      <c r="AF151">
        <v>38.9</v>
      </c>
      <c r="AG151">
        <v>37.5</v>
      </c>
      <c r="AH151">
        <v>39.200000000000003</v>
      </c>
      <c r="AI151">
        <v>42</v>
      </c>
      <c r="AJ151">
        <v>43.3</v>
      </c>
      <c r="AK151">
        <v>42.6</v>
      </c>
      <c r="AL151">
        <v>44.7</v>
      </c>
      <c r="AM151">
        <v>48.7</v>
      </c>
      <c r="AN151">
        <v>49.3</v>
      </c>
      <c r="AO151">
        <v>50</v>
      </c>
      <c r="AP151">
        <v>52.2</v>
      </c>
      <c r="AQ151">
        <v>53.5</v>
      </c>
      <c r="AR151">
        <v>54.4</v>
      </c>
      <c r="AS151">
        <v>53.1</v>
      </c>
      <c r="AT151">
        <v>56.3</v>
      </c>
      <c r="AU151">
        <v>57</v>
      </c>
      <c r="AV151">
        <v>62</v>
      </c>
      <c r="AW151">
        <v>61.4</v>
      </c>
      <c r="AX151">
        <v>60.4</v>
      </c>
      <c r="AY151">
        <v>62.1</v>
      </c>
      <c r="AZ151">
        <v>63</v>
      </c>
      <c r="BA151">
        <v>65.599999999999994</v>
      </c>
      <c r="BB151">
        <v>63.3</v>
      </c>
      <c r="BC151">
        <v>62.9</v>
      </c>
      <c r="BD151">
        <v>66.3</v>
      </c>
      <c r="BE151">
        <v>67.7</v>
      </c>
    </row>
    <row r="152" spans="1:57" x14ac:dyDescent="0.25">
      <c r="A152" s="20" t="s">
        <v>1506</v>
      </c>
      <c r="B152">
        <v>7.2</v>
      </c>
      <c r="C152">
        <v>7.3</v>
      </c>
      <c r="D152">
        <v>7.9</v>
      </c>
      <c r="E152">
        <v>8.1999999999999993</v>
      </c>
      <c r="F152">
        <v>9.6999999999999993</v>
      </c>
      <c r="G152">
        <v>9.8000000000000007</v>
      </c>
      <c r="H152">
        <v>10.1</v>
      </c>
      <c r="I152">
        <v>9</v>
      </c>
      <c r="J152">
        <v>8.1999999999999993</v>
      </c>
      <c r="K152">
        <v>8.3000000000000007</v>
      </c>
      <c r="L152">
        <v>8.8000000000000007</v>
      </c>
      <c r="M152">
        <v>8</v>
      </c>
      <c r="N152">
        <v>7.3</v>
      </c>
      <c r="O152">
        <v>7.2</v>
      </c>
      <c r="P152">
        <v>6.9</v>
      </c>
      <c r="Q152">
        <v>6.6</v>
      </c>
      <c r="R152">
        <v>6.5</v>
      </c>
      <c r="S152">
        <v>6.3</v>
      </c>
      <c r="T152">
        <v>6.3</v>
      </c>
      <c r="U152">
        <v>6.4</v>
      </c>
      <c r="V152">
        <v>6.6</v>
      </c>
      <c r="W152">
        <v>6.4</v>
      </c>
      <c r="X152">
        <v>6.2</v>
      </c>
      <c r="Y152">
        <v>6.2</v>
      </c>
      <c r="Z152">
        <v>6.3</v>
      </c>
      <c r="AA152">
        <v>6.4</v>
      </c>
      <c r="AD152" t="s">
        <v>1460</v>
      </c>
      <c r="AE152">
        <v>96.5</v>
      </c>
      <c r="AF152">
        <v>93.2</v>
      </c>
      <c r="AG152">
        <v>90.7</v>
      </c>
      <c r="AH152">
        <v>77.3</v>
      </c>
      <c r="AI152">
        <v>77.599999999999994</v>
      </c>
      <c r="AJ152">
        <v>76.400000000000006</v>
      </c>
      <c r="AK152">
        <v>76</v>
      </c>
      <c r="AL152">
        <v>75.400000000000006</v>
      </c>
      <c r="AM152">
        <v>75.7</v>
      </c>
      <c r="AN152">
        <v>71.2</v>
      </c>
      <c r="AO152">
        <v>68.3</v>
      </c>
      <c r="AP152">
        <v>68</v>
      </c>
      <c r="AQ152">
        <v>63.8</v>
      </c>
      <c r="AR152">
        <v>64</v>
      </c>
      <c r="AS152">
        <v>65.3</v>
      </c>
      <c r="AT152">
        <v>64.099999999999994</v>
      </c>
      <c r="AU152">
        <v>65.599999999999994</v>
      </c>
      <c r="AV152">
        <v>64.8</v>
      </c>
      <c r="AW152">
        <v>75.599999999999994</v>
      </c>
      <c r="AX152">
        <v>79.900000000000006</v>
      </c>
      <c r="AY152">
        <v>82.3</v>
      </c>
      <c r="AZ152">
        <v>71.2</v>
      </c>
      <c r="BA152">
        <v>66.5</v>
      </c>
      <c r="BB152">
        <v>64.599999999999994</v>
      </c>
      <c r="BC152">
        <v>64.599999999999994</v>
      </c>
      <c r="BD152">
        <v>61.2</v>
      </c>
      <c r="BE152">
        <v>53.8</v>
      </c>
    </row>
    <row r="153" spans="1:57" x14ac:dyDescent="0.25">
      <c r="A153" s="20" t="s">
        <v>1507</v>
      </c>
      <c r="B153">
        <v>0.4</v>
      </c>
      <c r="C153">
        <v>0.4</v>
      </c>
      <c r="D153">
        <v>0.5</v>
      </c>
      <c r="E153">
        <v>0.6</v>
      </c>
      <c r="F153">
        <v>0.8</v>
      </c>
      <c r="G153">
        <v>0.9</v>
      </c>
      <c r="H153">
        <v>1</v>
      </c>
      <c r="I153">
        <v>1.1000000000000001</v>
      </c>
      <c r="J153">
        <v>1.2</v>
      </c>
      <c r="K153">
        <v>1.3</v>
      </c>
      <c r="L153">
        <v>1.5</v>
      </c>
      <c r="M153">
        <v>1.5</v>
      </c>
      <c r="N153">
        <v>1.5</v>
      </c>
      <c r="O153">
        <v>1.7</v>
      </c>
      <c r="P153">
        <v>1.9</v>
      </c>
      <c r="Q153">
        <v>1.9</v>
      </c>
      <c r="R153">
        <v>1.9</v>
      </c>
      <c r="S153">
        <v>2</v>
      </c>
      <c r="T153">
        <v>2</v>
      </c>
      <c r="U153">
        <v>1.9</v>
      </c>
      <c r="V153">
        <v>1.8</v>
      </c>
      <c r="W153">
        <v>1.9</v>
      </c>
      <c r="X153">
        <v>1.9</v>
      </c>
      <c r="Y153">
        <v>2</v>
      </c>
      <c r="Z153">
        <v>2.1</v>
      </c>
      <c r="AA153">
        <v>2.1</v>
      </c>
      <c r="AD153" t="s">
        <v>1426</v>
      </c>
      <c r="AE153">
        <v>39.799999999999997</v>
      </c>
      <c r="AF153">
        <v>39.700000000000003</v>
      </c>
      <c r="AG153">
        <v>38.4</v>
      </c>
      <c r="AH153">
        <v>37.4</v>
      </c>
      <c r="AI153">
        <v>36.799999999999997</v>
      </c>
      <c r="AJ153">
        <v>36.200000000000003</v>
      </c>
      <c r="AK153">
        <v>35.9</v>
      </c>
      <c r="AL153">
        <v>35.700000000000003</v>
      </c>
      <c r="AM153">
        <v>34.9</v>
      </c>
      <c r="AN153">
        <v>33.9</v>
      </c>
      <c r="AO153">
        <v>33.700000000000003</v>
      </c>
      <c r="AP153">
        <v>33.6</v>
      </c>
      <c r="AQ153">
        <v>33</v>
      </c>
      <c r="AR153">
        <v>32.799999999999997</v>
      </c>
      <c r="AS153">
        <v>32.4</v>
      </c>
      <c r="AT153">
        <v>32.1</v>
      </c>
      <c r="AU153">
        <v>32.1</v>
      </c>
      <c r="AV153">
        <v>32</v>
      </c>
      <c r="AW153">
        <v>32.1</v>
      </c>
      <c r="AX153">
        <v>31.3</v>
      </c>
      <c r="AY153">
        <v>31.7</v>
      </c>
      <c r="AZ153">
        <v>32.4</v>
      </c>
      <c r="BA153">
        <v>32.700000000000003</v>
      </c>
      <c r="BB153">
        <v>36.6</v>
      </c>
      <c r="BC153">
        <v>38.6</v>
      </c>
      <c r="BD153">
        <v>38.1</v>
      </c>
      <c r="BE153">
        <v>38.6</v>
      </c>
    </row>
    <row r="154" spans="1:57" x14ac:dyDescent="0.25">
      <c r="A154" s="30" t="s">
        <v>1508</v>
      </c>
      <c r="B154">
        <v>5.6</v>
      </c>
      <c r="C154">
        <v>5.5</v>
      </c>
      <c r="D154">
        <v>5.5</v>
      </c>
      <c r="E154">
        <v>5.4</v>
      </c>
      <c r="F154">
        <v>5.3</v>
      </c>
      <c r="G154">
        <v>5.2</v>
      </c>
      <c r="H154">
        <v>5</v>
      </c>
      <c r="I154">
        <v>4.8</v>
      </c>
      <c r="J154">
        <v>4.5999999999999996</v>
      </c>
      <c r="K154">
        <v>4</v>
      </c>
      <c r="L154">
        <v>3.7</v>
      </c>
      <c r="M154">
        <v>3.5</v>
      </c>
      <c r="N154">
        <v>3.2</v>
      </c>
      <c r="O154">
        <v>3</v>
      </c>
      <c r="P154">
        <v>2.9</v>
      </c>
      <c r="Q154">
        <v>2.8</v>
      </c>
      <c r="R154">
        <v>2.7</v>
      </c>
      <c r="S154">
        <v>2.5</v>
      </c>
      <c r="T154">
        <v>2.4</v>
      </c>
      <c r="U154">
        <v>2.2999999999999998</v>
      </c>
      <c r="V154">
        <v>2.2999999999999998</v>
      </c>
      <c r="W154">
        <v>2.2999999999999998</v>
      </c>
      <c r="X154">
        <v>2.2000000000000002</v>
      </c>
      <c r="Y154">
        <v>2.1</v>
      </c>
      <c r="Z154">
        <v>2.1</v>
      </c>
      <c r="AA154">
        <v>2</v>
      </c>
      <c r="AD154" t="s">
        <v>1663</v>
      </c>
      <c r="AE154">
        <v>15.7</v>
      </c>
      <c r="AF154">
        <v>15.9</v>
      </c>
      <c r="AG154">
        <v>16.2</v>
      </c>
      <c r="AH154">
        <v>16.2</v>
      </c>
      <c r="AI154">
        <v>16.399999999999999</v>
      </c>
      <c r="AJ154">
        <v>16.2</v>
      </c>
      <c r="AK154">
        <v>16.100000000000001</v>
      </c>
      <c r="AL154">
        <v>16.3</v>
      </c>
      <c r="AM154">
        <v>16.3</v>
      </c>
      <c r="AN154">
        <v>16.399999999999999</v>
      </c>
      <c r="AO154">
        <v>16.3</v>
      </c>
      <c r="AP154">
        <v>16</v>
      </c>
      <c r="AQ154">
        <v>16</v>
      </c>
      <c r="AR154">
        <v>15.9</v>
      </c>
      <c r="AS154">
        <v>15.7</v>
      </c>
      <c r="AT154">
        <v>15.8</v>
      </c>
      <c r="AU154">
        <v>15.8</v>
      </c>
      <c r="AV154">
        <v>15.8</v>
      </c>
      <c r="AW154">
        <v>15.9</v>
      </c>
      <c r="AX154">
        <v>15.6</v>
      </c>
      <c r="AY154">
        <v>15.5</v>
      </c>
      <c r="AZ154">
        <v>15.3</v>
      </c>
      <c r="BA154">
        <v>15.1</v>
      </c>
      <c r="BB154">
        <v>14.9</v>
      </c>
      <c r="BC154">
        <v>15</v>
      </c>
      <c r="BD154">
        <v>15.1</v>
      </c>
      <c r="BE154">
        <v>14.8</v>
      </c>
    </row>
    <row r="155" spans="1:57" x14ac:dyDescent="0.25">
      <c r="A155" s="20" t="s">
        <v>1509</v>
      </c>
      <c r="B155">
        <v>0.2</v>
      </c>
      <c r="C155">
        <v>0.2</v>
      </c>
      <c r="D155">
        <v>0.2</v>
      </c>
      <c r="E155">
        <v>0.2</v>
      </c>
      <c r="F155">
        <v>0.2</v>
      </c>
      <c r="G155">
        <v>0.2</v>
      </c>
      <c r="H155">
        <v>0.2</v>
      </c>
      <c r="I155">
        <v>0.2</v>
      </c>
      <c r="J155">
        <v>0.2</v>
      </c>
      <c r="K155">
        <v>0.2</v>
      </c>
      <c r="L155">
        <v>0.3</v>
      </c>
      <c r="M155">
        <v>0.2</v>
      </c>
      <c r="N155">
        <v>0.2</v>
      </c>
      <c r="O155">
        <v>0.3</v>
      </c>
      <c r="P155">
        <v>0.3</v>
      </c>
      <c r="Q155">
        <v>0.2</v>
      </c>
      <c r="R155">
        <v>0.3</v>
      </c>
      <c r="S155">
        <v>0.3</v>
      </c>
      <c r="T155">
        <v>0.3</v>
      </c>
      <c r="U155">
        <v>0.3</v>
      </c>
      <c r="V155">
        <v>0.3</v>
      </c>
      <c r="W155">
        <v>0.3</v>
      </c>
      <c r="X155">
        <v>0.3</v>
      </c>
      <c r="Y155">
        <v>0.3</v>
      </c>
      <c r="Z155">
        <v>0.3</v>
      </c>
      <c r="AA155">
        <v>0.3</v>
      </c>
      <c r="AD155" t="s">
        <v>1657</v>
      </c>
      <c r="AE155">
        <v>16</v>
      </c>
      <c r="AF155">
        <v>16.8</v>
      </c>
      <c r="AG155">
        <v>16.899999999999999</v>
      </c>
      <c r="AH155">
        <v>16.899999999999999</v>
      </c>
      <c r="AI155">
        <v>14.8</v>
      </c>
      <c r="AJ155">
        <v>15.8</v>
      </c>
      <c r="AK155">
        <v>16</v>
      </c>
      <c r="AL155">
        <v>15.8</v>
      </c>
      <c r="AM155">
        <v>16.100000000000001</v>
      </c>
      <c r="AN155">
        <v>18.100000000000001</v>
      </c>
      <c r="AO155">
        <v>18.3</v>
      </c>
      <c r="AP155">
        <v>15.6</v>
      </c>
      <c r="AQ155">
        <v>16.5</v>
      </c>
      <c r="AR155">
        <v>14.3</v>
      </c>
      <c r="AS155">
        <v>14.1</v>
      </c>
      <c r="AT155">
        <v>16.7</v>
      </c>
      <c r="AU155">
        <v>12.9</v>
      </c>
      <c r="AV155">
        <v>13.9</v>
      </c>
      <c r="AW155">
        <v>11.5</v>
      </c>
      <c r="AX155">
        <v>14.5</v>
      </c>
      <c r="AY155">
        <v>15.9</v>
      </c>
      <c r="AZ155">
        <v>14.1</v>
      </c>
      <c r="BA155">
        <v>11.3</v>
      </c>
      <c r="BB155">
        <v>11.5</v>
      </c>
      <c r="BC155">
        <v>12.7</v>
      </c>
      <c r="BD155">
        <v>12.3</v>
      </c>
      <c r="BE155">
        <v>13.7</v>
      </c>
    </row>
    <row r="156" spans="1:57" x14ac:dyDescent="0.25">
      <c r="A156" s="20" t="s">
        <v>1476</v>
      </c>
      <c r="B156">
        <v>0.2</v>
      </c>
      <c r="C156">
        <v>0.2</v>
      </c>
      <c r="D156">
        <v>0.2</v>
      </c>
      <c r="E156">
        <v>0.3</v>
      </c>
      <c r="F156">
        <v>0.3</v>
      </c>
      <c r="G156">
        <v>0.3</v>
      </c>
      <c r="H156">
        <v>0.3</v>
      </c>
      <c r="I156">
        <v>0.4</v>
      </c>
      <c r="J156">
        <v>0.3</v>
      </c>
      <c r="K156">
        <v>0.3</v>
      </c>
      <c r="L156">
        <v>0.3</v>
      </c>
      <c r="M156">
        <v>0.2</v>
      </c>
      <c r="N156">
        <v>0.2</v>
      </c>
      <c r="O156">
        <v>0.2</v>
      </c>
      <c r="P156">
        <v>0.2</v>
      </c>
      <c r="Q156">
        <v>0.1</v>
      </c>
      <c r="R156" t="s">
        <v>1537</v>
      </c>
      <c r="S156">
        <v>0.1</v>
      </c>
      <c r="T156" t="s">
        <v>1537</v>
      </c>
      <c r="U156" t="s">
        <v>1537</v>
      </c>
      <c r="V156" t="s">
        <v>1537</v>
      </c>
      <c r="W156" t="s">
        <v>1537</v>
      </c>
      <c r="X156">
        <v>0.1</v>
      </c>
      <c r="Y156">
        <v>0.1</v>
      </c>
      <c r="Z156">
        <v>0.1</v>
      </c>
      <c r="AA156">
        <v>0.2</v>
      </c>
      <c r="AD156" t="s">
        <v>1928</v>
      </c>
      <c r="AE156">
        <v>8.6</v>
      </c>
      <c r="AF156">
        <v>8.8000000000000007</v>
      </c>
      <c r="AG156">
        <v>9.1</v>
      </c>
      <c r="AH156">
        <v>8.5</v>
      </c>
      <c r="AI156">
        <v>8.3000000000000007</v>
      </c>
      <c r="AJ156">
        <v>8.3000000000000007</v>
      </c>
      <c r="AK156">
        <v>8.6</v>
      </c>
      <c r="AL156">
        <v>7.8</v>
      </c>
      <c r="AM156">
        <v>7.2</v>
      </c>
      <c r="AN156">
        <v>7.3</v>
      </c>
      <c r="AO156">
        <v>7.7</v>
      </c>
      <c r="AP156">
        <v>7.2</v>
      </c>
      <c r="AQ156">
        <v>7.3</v>
      </c>
      <c r="AR156">
        <v>7.6</v>
      </c>
      <c r="AS156">
        <v>7.7</v>
      </c>
      <c r="AT156">
        <v>7.8</v>
      </c>
      <c r="AU156">
        <v>7.4</v>
      </c>
      <c r="AV156">
        <v>7.8</v>
      </c>
      <c r="AW156">
        <v>8</v>
      </c>
      <c r="AX156">
        <v>7.9</v>
      </c>
      <c r="AY156">
        <v>7.8</v>
      </c>
      <c r="AZ156">
        <v>7.7</v>
      </c>
      <c r="BA156">
        <v>7.4</v>
      </c>
      <c r="BB156">
        <v>8.8000000000000007</v>
      </c>
      <c r="BC156">
        <v>8.9</v>
      </c>
      <c r="BD156">
        <v>7.9</v>
      </c>
      <c r="BE156">
        <v>7.3</v>
      </c>
    </row>
    <row r="157" spans="1:57" x14ac:dyDescent="0.25">
      <c r="A157" s="20" t="s">
        <v>1487</v>
      </c>
      <c r="B157" t="s">
        <v>1537</v>
      </c>
      <c r="C157" t="s">
        <v>1537</v>
      </c>
      <c r="D157" t="s">
        <v>1537</v>
      </c>
      <c r="E157" t="s">
        <v>1537</v>
      </c>
      <c r="F157" t="s">
        <v>1537</v>
      </c>
      <c r="G157" t="s">
        <v>1537</v>
      </c>
      <c r="H157" t="s">
        <v>1537</v>
      </c>
      <c r="I157" t="s">
        <v>1537</v>
      </c>
      <c r="J157" t="s">
        <v>1537</v>
      </c>
      <c r="K157" t="s">
        <v>1537</v>
      </c>
      <c r="L157" t="s">
        <v>1537</v>
      </c>
      <c r="M157" t="s">
        <v>1537</v>
      </c>
      <c r="N157" t="s">
        <v>1537</v>
      </c>
      <c r="O157" t="s">
        <v>1537</v>
      </c>
      <c r="P157" t="s">
        <v>1537</v>
      </c>
      <c r="Q157" t="s">
        <v>1537</v>
      </c>
      <c r="R157" t="s">
        <v>1537</v>
      </c>
      <c r="S157" t="s">
        <v>1537</v>
      </c>
      <c r="T157" t="s">
        <v>1537</v>
      </c>
      <c r="U157" t="s">
        <v>1537</v>
      </c>
      <c r="V157" t="s">
        <v>1537</v>
      </c>
      <c r="W157" t="s">
        <v>1537</v>
      </c>
      <c r="X157" t="s">
        <v>1537</v>
      </c>
      <c r="Y157" t="s">
        <v>1537</v>
      </c>
      <c r="Z157" t="s">
        <v>1537</v>
      </c>
      <c r="AA157" t="s">
        <v>1537</v>
      </c>
      <c r="AD157" t="s">
        <v>1924</v>
      </c>
      <c r="AE157">
        <v>6.5</v>
      </c>
      <c r="AF157">
        <v>6.5</v>
      </c>
      <c r="AG157">
        <v>6.6</v>
      </c>
      <c r="AH157">
        <v>6.6</v>
      </c>
      <c r="AI157">
        <v>6.7</v>
      </c>
      <c r="AJ157">
        <v>6.7</v>
      </c>
      <c r="AK157">
        <v>6.7</v>
      </c>
      <c r="AL157">
        <v>6.7</v>
      </c>
      <c r="AM157">
        <v>6.8</v>
      </c>
      <c r="AN157">
        <v>6.8</v>
      </c>
      <c r="AO157">
        <v>6.8</v>
      </c>
      <c r="AP157">
        <v>6.9</v>
      </c>
      <c r="AQ157">
        <v>6.9</v>
      </c>
      <c r="AR157">
        <v>6.9</v>
      </c>
      <c r="AS157">
        <v>6.9</v>
      </c>
      <c r="AT157">
        <v>6.9</v>
      </c>
      <c r="AU157">
        <v>6.9</v>
      </c>
      <c r="AV157">
        <v>6.9</v>
      </c>
      <c r="AW157">
        <v>6.9</v>
      </c>
      <c r="AX157">
        <v>6.9</v>
      </c>
      <c r="AY157">
        <v>6.9</v>
      </c>
      <c r="AZ157">
        <v>7</v>
      </c>
      <c r="BA157">
        <v>7</v>
      </c>
      <c r="BB157">
        <v>7</v>
      </c>
      <c r="BC157">
        <v>7.1</v>
      </c>
      <c r="BD157">
        <v>7.2</v>
      </c>
      <c r="BE157">
        <v>7.1</v>
      </c>
    </row>
    <row r="158" spans="1:57" ht="24" x14ac:dyDescent="0.25">
      <c r="A158" s="20" t="s">
        <v>1494</v>
      </c>
      <c r="B158" t="s">
        <v>1537</v>
      </c>
      <c r="C158" t="s">
        <v>1537</v>
      </c>
      <c r="D158" t="s">
        <v>1537</v>
      </c>
      <c r="E158" t="s">
        <v>1537</v>
      </c>
      <c r="F158" t="s">
        <v>1537</v>
      </c>
      <c r="G158" t="s">
        <v>1537</v>
      </c>
      <c r="H158" t="s">
        <v>1537</v>
      </c>
      <c r="I158" t="s">
        <v>1537</v>
      </c>
      <c r="J158" t="s">
        <v>1537</v>
      </c>
      <c r="K158" t="s">
        <v>1537</v>
      </c>
      <c r="L158" t="s">
        <v>1537</v>
      </c>
      <c r="M158" t="s">
        <v>1537</v>
      </c>
      <c r="N158" t="s">
        <v>1537</v>
      </c>
      <c r="O158" t="s">
        <v>1537</v>
      </c>
      <c r="P158" t="s">
        <v>1537</v>
      </c>
      <c r="Q158" t="s">
        <v>1537</v>
      </c>
      <c r="R158" t="s">
        <v>1537</v>
      </c>
      <c r="S158" t="s">
        <v>1537</v>
      </c>
      <c r="T158" t="s">
        <v>1537</v>
      </c>
      <c r="U158" t="s">
        <v>1537</v>
      </c>
      <c r="V158" t="s">
        <v>1537</v>
      </c>
      <c r="W158" t="s">
        <v>1537</v>
      </c>
      <c r="X158" t="s">
        <v>1537</v>
      </c>
      <c r="Y158" t="s">
        <v>1537</v>
      </c>
      <c r="Z158" t="s">
        <v>1537</v>
      </c>
      <c r="AA158" t="s">
        <v>1537</v>
      </c>
      <c r="AD158" t="s">
        <v>1439</v>
      </c>
      <c r="AE158">
        <v>7.2</v>
      </c>
      <c r="AF158">
        <v>7.3</v>
      </c>
      <c r="AG158">
        <v>7.9</v>
      </c>
      <c r="AH158">
        <v>8.1999999999999993</v>
      </c>
      <c r="AI158">
        <v>9.6999999999999993</v>
      </c>
      <c r="AJ158">
        <v>9.8000000000000007</v>
      </c>
      <c r="AK158">
        <v>10.1</v>
      </c>
      <c r="AL158">
        <v>9</v>
      </c>
      <c r="AM158">
        <v>8.1999999999999993</v>
      </c>
      <c r="AN158">
        <v>8.3000000000000007</v>
      </c>
      <c r="AO158">
        <v>8.8000000000000007</v>
      </c>
      <c r="AP158">
        <v>8</v>
      </c>
      <c r="AQ158">
        <v>7.3</v>
      </c>
      <c r="AR158">
        <v>7.2</v>
      </c>
      <c r="AS158">
        <v>6.9</v>
      </c>
      <c r="AT158">
        <v>6.6</v>
      </c>
      <c r="AU158">
        <v>6.5</v>
      </c>
      <c r="AV158">
        <v>6.3</v>
      </c>
      <c r="AW158">
        <v>6.3</v>
      </c>
      <c r="AX158">
        <v>6.4</v>
      </c>
      <c r="AY158">
        <v>6.6</v>
      </c>
      <c r="AZ158">
        <v>6.4</v>
      </c>
      <c r="BA158">
        <v>6.2</v>
      </c>
      <c r="BB158">
        <v>6.2</v>
      </c>
      <c r="BC158">
        <v>6.3</v>
      </c>
      <c r="BD158">
        <v>6.4</v>
      </c>
      <c r="BE158">
        <v>6.7</v>
      </c>
    </row>
    <row r="159" spans="1:57" ht="24" x14ac:dyDescent="0.25">
      <c r="A159" s="20" t="s">
        <v>1473</v>
      </c>
      <c r="B159" t="s">
        <v>1537</v>
      </c>
      <c r="C159" t="s">
        <v>1537</v>
      </c>
      <c r="D159" t="s">
        <v>1537</v>
      </c>
      <c r="E159" t="s">
        <v>1537</v>
      </c>
      <c r="F159" t="s">
        <v>1537</v>
      </c>
      <c r="G159" t="s">
        <v>1537</v>
      </c>
      <c r="H159" t="s">
        <v>1537</v>
      </c>
      <c r="I159" t="s">
        <v>1537</v>
      </c>
      <c r="J159" t="s">
        <v>1537</v>
      </c>
      <c r="K159" t="s">
        <v>1537</v>
      </c>
      <c r="L159" t="s">
        <v>1537</v>
      </c>
      <c r="M159" t="s">
        <v>1537</v>
      </c>
      <c r="N159" t="s">
        <v>1537</v>
      </c>
      <c r="O159" t="s">
        <v>1537</v>
      </c>
      <c r="P159" t="s">
        <v>1537</v>
      </c>
      <c r="Q159" t="s">
        <v>1537</v>
      </c>
      <c r="R159" t="s">
        <v>1537</v>
      </c>
      <c r="S159" t="s">
        <v>1537</v>
      </c>
      <c r="T159" t="s">
        <v>1537</v>
      </c>
      <c r="U159" t="s">
        <v>1537</v>
      </c>
      <c r="V159" t="s">
        <v>1537</v>
      </c>
      <c r="W159" t="s">
        <v>1537</v>
      </c>
      <c r="X159" t="s">
        <v>1537</v>
      </c>
      <c r="Y159" t="s">
        <v>1537</v>
      </c>
      <c r="Z159" t="s">
        <v>1537</v>
      </c>
      <c r="AA159" t="s">
        <v>1537</v>
      </c>
      <c r="AD159" t="s">
        <v>1929</v>
      </c>
      <c r="AE159">
        <v>12.7</v>
      </c>
      <c r="AF159">
        <v>12.5</v>
      </c>
      <c r="AG159">
        <v>12.5</v>
      </c>
      <c r="AH159">
        <v>12.3</v>
      </c>
      <c r="AI159">
        <v>12.3</v>
      </c>
      <c r="AJ159">
        <v>12.2</v>
      </c>
      <c r="AK159">
        <v>12</v>
      </c>
      <c r="AL159">
        <v>11.9</v>
      </c>
      <c r="AM159">
        <v>11.6</v>
      </c>
      <c r="AN159">
        <v>10.9</v>
      </c>
      <c r="AO159">
        <v>10.6</v>
      </c>
      <c r="AP159">
        <v>11</v>
      </c>
      <c r="AQ159">
        <v>10.8</v>
      </c>
      <c r="AR159">
        <v>10.6</v>
      </c>
      <c r="AS159">
        <v>10</v>
      </c>
      <c r="AT159">
        <v>9.4</v>
      </c>
      <c r="AU159">
        <v>9</v>
      </c>
      <c r="AV159">
        <v>8</v>
      </c>
      <c r="AW159">
        <v>7.1</v>
      </c>
      <c r="AX159">
        <v>6.5</v>
      </c>
      <c r="AY159">
        <v>6.2</v>
      </c>
      <c r="AZ159">
        <v>5.7</v>
      </c>
      <c r="BA159">
        <v>5.0999999999999996</v>
      </c>
      <c r="BB159">
        <v>4.7</v>
      </c>
      <c r="BC159">
        <v>4.2</v>
      </c>
      <c r="BD159">
        <v>3.8</v>
      </c>
      <c r="BE159">
        <v>3.6</v>
      </c>
    </row>
    <row r="160" spans="1:57" x14ac:dyDescent="0.25">
      <c r="A160" s="20" t="s">
        <v>1480</v>
      </c>
      <c r="B160" t="s">
        <v>1537</v>
      </c>
      <c r="C160" t="s">
        <v>1537</v>
      </c>
      <c r="D160" t="s">
        <v>1537</v>
      </c>
      <c r="E160" t="s">
        <v>1537</v>
      </c>
      <c r="F160" t="s">
        <v>1537</v>
      </c>
      <c r="G160" t="s">
        <v>1537</v>
      </c>
      <c r="H160" t="s">
        <v>1537</v>
      </c>
      <c r="I160" t="s">
        <v>1537</v>
      </c>
      <c r="J160" t="s">
        <v>1537</v>
      </c>
      <c r="K160" t="s">
        <v>1537</v>
      </c>
      <c r="L160" t="s">
        <v>1537</v>
      </c>
      <c r="M160" t="s">
        <v>1537</v>
      </c>
      <c r="N160" t="s">
        <v>1537</v>
      </c>
      <c r="O160" t="s">
        <v>1537</v>
      </c>
      <c r="P160" t="s">
        <v>1537</v>
      </c>
      <c r="Q160" t="s">
        <v>1537</v>
      </c>
      <c r="R160" t="s">
        <v>1537</v>
      </c>
      <c r="S160" t="s">
        <v>1537</v>
      </c>
      <c r="T160" t="s">
        <v>1537</v>
      </c>
      <c r="U160" t="s">
        <v>1537</v>
      </c>
      <c r="V160" t="s">
        <v>1537</v>
      </c>
      <c r="W160" t="s">
        <v>1537</v>
      </c>
      <c r="X160" t="s">
        <v>1537</v>
      </c>
      <c r="Y160" t="s">
        <v>1537</v>
      </c>
      <c r="Z160" t="s">
        <v>1537</v>
      </c>
      <c r="AA160" t="s">
        <v>1537</v>
      </c>
      <c r="AD160" t="s">
        <v>1456</v>
      </c>
      <c r="AE160">
        <v>0.4</v>
      </c>
      <c r="AF160">
        <v>0.4</v>
      </c>
      <c r="AG160">
        <v>0.5</v>
      </c>
      <c r="AH160">
        <v>0.6</v>
      </c>
      <c r="AI160">
        <v>0.8</v>
      </c>
      <c r="AJ160">
        <v>0.9</v>
      </c>
      <c r="AK160">
        <v>1</v>
      </c>
      <c r="AL160">
        <v>1.1000000000000001</v>
      </c>
      <c r="AM160">
        <v>1.2</v>
      </c>
      <c r="AN160">
        <v>1.3</v>
      </c>
      <c r="AO160">
        <v>1.5</v>
      </c>
      <c r="AP160">
        <v>1.5</v>
      </c>
      <c r="AQ160">
        <v>1.5</v>
      </c>
      <c r="AR160">
        <v>1.7</v>
      </c>
      <c r="AS160">
        <v>1.9</v>
      </c>
      <c r="AT160">
        <v>1.9</v>
      </c>
      <c r="AU160">
        <v>1.9</v>
      </c>
      <c r="AV160">
        <v>2</v>
      </c>
      <c r="AW160">
        <v>2</v>
      </c>
      <c r="AX160">
        <v>1.9</v>
      </c>
      <c r="AY160">
        <v>1.8</v>
      </c>
      <c r="AZ160">
        <v>1.9</v>
      </c>
      <c r="BA160">
        <v>1.9</v>
      </c>
      <c r="BB160">
        <v>2</v>
      </c>
      <c r="BC160">
        <v>2.1</v>
      </c>
      <c r="BD160">
        <v>2.1</v>
      </c>
      <c r="BE160">
        <v>2.1</v>
      </c>
    </row>
    <row r="161" spans="1:57" x14ac:dyDescent="0.25">
      <c r="A161" s="30" t="s">
        <v>1497</v>
      </c>
      <c r="B161">
        <v>0.2</v>
      </c>
      <c r="C161">
        <v>0.2</v>
      </c>
      <c r="D161">
        <v>0.2</v>
      </c>
      <c r="E161">
        <v>0.1</v>
      </c>
      <c r="F161">
        <v>0.1</v>
      </c>
      <c r="G161">
        <v>0.1</v>
      </c>
      <c r="H161">
        <v>0.1</v>
      </c>
      <c r="I161">
        <v>0.1</v>
      </c>
      <c r="J161">
        <v>0.1</v>
      </c>
      <c r="K161">
        <v>0.1</v>
      </c>
      <c r="L161">
        <v>0.1</v>
      </c>
      <c r="M161">
        <v>0.1</v>
      </c>
      <c r="N161">
        <v>0.1</v>
      </c>
      <c r="O161">
        <v>0.1</v>
      </c>
      <c r="P161">
        <v>0.1</v>
      </c>
      <c r="Q161">
        <v>0.1</v>
      </c>
      <c r="R161">
        <v>0.1</v>
      </c>
      <c r="S161">
        <v>0.1</v>
      </c>
      <c r="T161">
        <v>0.1</v>
      </c>
      <c r="U161">
        <v>0.1</v>
      </c>
      <c r="V161">
        <v>0.1</v>
      </c>
      <c r="W161">
        <v>0.1</v>
      </c>
      <c r="X161">
        <v>0.1</v>
      </c>
      <c r="Y161">
        <v>0.1</v>
      </c>
      <c r="Z161">
        <v>0.1</v>
      </c>
      <c r="AA161">
        <v>0.1</v>
      </c>
      <c r="AD161" t="s">
        <v>1454</v>
      </c>
      <c r="AE161">
        <v>0.2</v>
      </c>
      <c r="AF161">
        <v>0.2</v>
      </c>
      <c r="AG161">
        <v>0.2</v>
      </c>
      <c r="AH161">
        <v>0.2</v>
      </c>
      <c r="AI161">
        <v>0.2</v>
      </c>
      <c r="AJ161">
        <v>0.2</v>
      </c>
      <c r="AK161">
        <v>0.2</v>
      </c>
      <c r="AL161">
        <v>0.2</v>
      </c>
      <c r="AM161">
        <v>0.2</v>
      </c>
      <c r="AN161">
        <v>0.2</v>
      </c>
      <c r="AO161">
        <v>0.3</v>
      </c>
      <c r="AP161">
        <v>0.2</v>
      </c>
      <c r="AQ161">
        <v>0.2</v>
      </c>
      <c r="AR161">
        <v>0.3</v>
      </c>
      <c r="AS161">
        <v>0.3</v>
      </c>
      <c r="AT161">
        <v>0.2</v>
      </c>
      <c r="AU161">
        <v>0.3</v>
      </c>
      <c r="AV161">
        <v>0.3</v>
      </c>
      <c r="AW161">
        <v>0.3</v>
      </c>
      <c r="AX161">
        <v>0.3</v>
      </c>
      <c r="AY161">
        <v>0.3</v>
      </c>
      <c r="AZ161">
        <v>0.3</v>
      </c>
      <c r="BA161">
        <v>0.3</v>
      </c>
      <c r="BB161">
        <v>0.3</v>
      </c>
      <c r="BC161">
        <v>0.3</v>
      </c>
      <c r="BD161">
        <v>0.3</v>
      </c>
      <c r="BE161">
        <v>0.3</v>
      </c>
    </row>
    <row r="162" spans="1:57" x14ac:dyDescent="0.25">
      <c r="A162" s="30" t="s">
        <v>1510</v>
      </c>
      <c r="B162">
        <v>359.5</v>
      </c>
      <c r="C162">
        <v>358.7</v>
      </c>
      <c r="D162">
        <v>361.9</v>
      </c>
      <c r="E162">
        <v>373.9</v>
      </c>
      <c r="F162">
        <v>364.9</v>
      </c>
      <c r="G162">
        <v>377</v>
      </c>
      <c r="H162">
        <v>383.4</v>
      </c>
      <c r="I162">
        <v>374.2</v>
      </c>
      <c r="J162">
        <v>388.7</v>
      </c>
      <c r="K162">
        <v>363</v>
      </c>
      <c r="L162">
        <v>361.9</v>
      </c>
      <c r="M162">
        <v>363.8</v>
      </c>
      <c r="N162">
        <v>362.2</v>
      </c>
      <c r="O162">
        <v>366</v>
      </c>
      <c r="P162">
        <v>385.9</v>
      </c>
      <c r="Q162">
        <v>361.6</v>
      </c>
      <c r="R162">
        <v>371.1</v>
      </c>
      <c r="S162">
        <v>378.8</v>
      </c>
      <c r="T162">
        <v>361.6</v>
      </c>
      <c r="U162">
        <v>362.3</v>
      </c>
      <c r="V162">
        <v>370.5</v>
      </c>
      <c r="W162">
        <v>364</v>
      </c>
      <c r="X162">
        <v>340.7</v>
      </c>
      <c r="Y162">
        <v>335.5</v>
      </c>
      <c r="Z162">
        <v>335.5</v>
      </c>
      <c r="AA162">
        <v>334.8</v>
      </c>
      <c r="AD162" t="s">
        <v>1448</v>
      </c>
      <c r="AE162">
        <v>0.2</v>
      </c>
      <c r="AF162">
        <v>0.2</v>
      </c>
      <c r="AG162">
        <v>0.2</v>
      </c>
      <c r="AH162">
        <v>0.3</v>
      </c>
      <c r="AI162">
        <v>0.3</v>
      </c>
      <c r="AJ162">
        <v>0.3</v>
      </c>
      <c r="AK162">
        <v>0.3</v>
      </c>
      <c r="AL162">
        <v>0.4</v>
      </c>
      <c r="AM162">
        <v>0.3</v>
      </c>
      <c r="AN162">
        <v>0.3</v>
      </c>
      <c r="AO162">
        <v>0.3</v>
      </c>
      <c r="AP162">
        <v>0.2</v>
      </c>
      <c r="AQ162">
        <v>0.2</v>
      </c>
      <c r="AR162">
        <v>0.2</v>
      </c>
      <c r="AS162">
        <v>0.2</v>
      </c>
      <c r="AT162">
        <v>0.1</v>
      </c>
      <c r="AU162">
        <v>0</v>
      </c>
      <c r="AV162">
        <v>0.1</v>
      </c>
      <c r="AW162">
        <v>0</v>
      </c>
      <c r="AX162">
        <v>0</v>
      </c>
      <c r="AY162">
        <v>0</v>
      </c>
      <c r="AZ162">
        <v>0</v>
      </c>
      <c r="BA162">
        <v>0.1</v>
      </c>
      <c r="BB162">
        <v>0.1</v>
      </c>
      <c r="BC162">
        <v>0.1</v>
      </c>
      <c r="BD162">
        <v>0.2</v>
      </c>
      <c r="BE162">
        <v>0.2</v>
      </c>
    </row>
    <row r="163" spans="1:57" x14ac:dyDescent="0.25">
      <c r="A163" s="20" t="s">
        <v>1511</v>
      </c>
      <c r="B163">
        <v>256.60000000000002</v>
      </c>
      <c r="C163">
        <v>254.1</v>
      </c>
      <c r="D163">
        <v>255.7</v>
      </c>
      <c r="E163">
        <v>263.89999999999998</v>
      </c>
      <c r="F163">
        <v>251.5</v>
      </c>
      <c r="G163">
        <v>258.2</v>
      </c>
      <c r="H163">
        <v>262.8</v>
      </c>
      <c r="I163">
        <v>259.10000000000002</v>
      </c>
      <c r="J163">
        <v>277.5</v>
      </c>
      <c r="K163">
        <v>254.4</v>
      </c>
      <c r="L163">
        <v>252.8</v>
      </c>
      <c r="M163">
        <v>261.2</v>
      </c>
      <c r="N163">
        <v>258.89999999999998</v>
      </c>
      <c r="O163">
        <v>263.7</v>
      </c>
      <c r="P163">
        <v>286.60000000000002</v>
      </c>
      <c r="Q163">
        <v>259.8</v>
      </c>
      <c r="R163">
        <v>269.3</v>
      </c>
      <c r="S163">
        <v>277.10000000000002</v>
      </c>
      <c r="T163">
        <v>272.2</v>
      </c>
      <c r="U163">
        <v>276.39999999999998</v>
      </c>
      <c r="V163">
        <v>280.3</v>
      </c>
      <c r="W163">
        <v>270.10000000000002</v>
      </c>
      <c r="X163">
        <v>254.1</v>
      </c>
      <c r="Y163">
        <v>250.5</v>
      </c>
      <c r="Z163">
        <v>250</v>
      </c>
      <c r="AA163">
        <v>251.3</v>
      </c>
      <c r="AD163" t="s">
        <v>1722</v>
      </c>
      <c r="AE163" t="s">
        <v>1539</v>
      </c>
      <c r="AF163" t="s">
        <v>1539</v>
      </c>
      <c r="AG163" t="s">
        <v>1539</v>
      </c>
      <c r="AH163" t="s">
        <v>1539</v>
      </c>
      <c r="AI163" t="s">
        <v>1539</v>
      </c>
      <c r="AJ163" t="s">
        <v>1539</v>
      </c>
      <c r="AK163" t="s">
        <v>1539</v>
      </c>
      <c r="AL163" t="s">
        <v>1539</v>
      </c>
      <c r="AM163" t="s">
        <v>1539</v>
      </c>
      <c r="AN163" t="s">
        <v>1539</v>
      </c>
      <c r="AO163" t="s">
        <v>1539</v>
      </c>
      <c r="AP163" t="s">
        <v>1539</v>
      </c>
      <c r="AQ163" t="s">
        <v>1539</v>
      </c>
      <c r="AR163" t="s">
        <v>1539</v>
      </c>
      <c r="AS163" t="s">
        <v>1539</v>
      </c>
      <c r="AT163" t="s">
        <v>1539</v>
      </c>
      <c r="AU163" t="s">
        <v>1539</v>
      </c>
      <c r="AV163" t="s">
        <v>1539</v>
      </c>
      <c r="AW163" t="s">
        <v>1539</v>
      </c>
      <c r="AX163" t="s">
        <v>1539</v>
      </c>
      <c r="AY163" t="s">
        <v>1539</v>
      </c>
      <c r="AZ163" t="s">
        <v>1539</v>
      </c>
      <c r="BA163" t="s">
        <v>1539</v>
      </c>
      <c r="BB163" t="s">
        <v>1539</v>
      </c>
      <c r="BC163" t="s">
        <v>1539</v>
      </c>
      <c r="BD163" t="s">
        <v>1539</v>
      </c>
      <c r="BE163" t="s">
        <v>1539</v>
      </c>
    </row>
    <row r="164" spans="1:57" x14ac:dyDescent="0.25">
      <c r="A164" s="20" t="s">
        <v>1505</v>
      </c>
      <c r="B164">
        <v>11.9</v>
      </c>
      <c r="C164">
        <v>11.8</v>
      </c>
      <c r="D164">
        <v>12</v>
      </c>
      <c r="E164">
        <v>12.3</v>
      </c>
      <c r="F164">
        <v>12.5</v>
      </c>
      <c r="G164">
        <v>12.6</v>
      </c>
      <c r="H164">
        <v>12.9</v>
      </c>
      <c r="I164">
        <v>13</v>
      </c>
      <c r="J164">
        <v>13</v>
      </c>
      <c r="K164">
        <v>13.2</v>
      </c>
      <c r="L164">
        <v>14</v>
      </c>
      <c r="M164">
        <v>14.4</v>
      </c>
      <c r="N164">
        <v>16</v>
      </c>
      <c r="O164">
        <v>17.3</v>
      </c>
      <c r="P164">
        <v>19</v>
      </c>
      <c r="Q164">
        <v>20.2</v>
      </c>
      <c r="R164">
        <v>20.399999999999999</v>
      </c>
      <c r="S164">
        <v>20.8</v>
      </c>
      <c r="T164">
        <v>20.8</v>
      </c>
      <c r="U164">
        <v>20.399999999999999</v>
      </c>
      <c r="V164">
        <v>22.2</v>
      </c>
      <c r="W164">
        <v>21.3</v>
      </c>
      <c r="X164">
        <v>21.4</v>
      </c>
      <c r="Y164">
        <v>22.9</v>
      </c>
      <c r="Z164">
        <v>23.4</v>
      </c>
      <c r="AA164">
        <v>23.1</v>
      </c>
      <c r="AD164" t="s">
        <v>1923</v>
      </c>
      <c r="AE164" t="s">
        <v>1539</v>
      </c>
      <c r="AF164" t="s">
        <v>1539</v>
      </c>
      <c r="AG164" t="s">
        <v>1539</v>
      </c>
      <c r="AH164" t="s">
        <v>1539</v>
      </c>
      <c r="AI164" t="s">
        <v>1539</v>
      </c>
      <c r="AJ164" t="s">
        <v>1539</v>
      </c>
      <c r="AK164" t="s">
        <v>1539</v>
      </c>
      <c r="AL164" t="s">
        <v>1539</v>
      </c>
      <c r="AM164" t="s">
        <v>1539</v>
      </c>
      <c r="AN164" t="s">
        <v>1539</v>
      </c>
      <c r="AO164" t="s">
        <v>1539</v>
      </c>
      <c r="AP164" t="s">
        <v>1539</v>
      </c>
      <c r="AQ164" t="s">
        <v>1539</v>
      </c>
      <c r="AR164" t="s">
        <v>1539</v>
      </c>
      <c r="AS164" t="s">
        <v>1539</v>
      </c>
      <c r="AT164" t="s">
        <v>1539</v>
      </c>
      <c r="AU164" t="s">
        <v>1539</v>
      </c>
      <c r="AV164" t="s">
        <v>1539</v>
      </c>
      <c r="AW164" t="s">
        <v>1539</v>
      </c>
      <c r="AX164" t="s">
        <v>1539</v>
      </c>
      <c r="AY164" t="s">
        <v>1539</v>
      </c>
      <c r="AZ164" t="s">
        <v>1539</v>
      </c>
      <c r="BA164" t="s">
        <v>1539</v>
      </c>
      <c r="BB164" t="s">
        <v>1539</v>
      </c>
      <c r="BC164" t="s">
        <v>1539</v>
      </c>
      <c r="BD164" t="s">
        <v>1539</v>
      </c>
      <c r="BE164" t="s">
        <v>1539</v>
      </c>
    </row>
    <row r="165" spans="1:57" x14ac:dyDescent="0.25">
      <c r="A165" s="20" t="s">
        <v>1501</v>
      </c>
      <c r="B165">
        <v>14</v>
      </c>
      <c r="C165">
        <v>14.2</v>
      </c>
      <c r="D165">
        <v>14.2</v>
      </c>
      <c r="E165">
        <v>14</v>
      </c>
      <c r="F165">
        <v>14.8</v>
      </c>
      <c r="G165">
        <v>15.1</v>
      </c>
      <c r="H165">
        <v>15.1</v>
      </c>
      <c r="I165">
        <v>15.3</v>
      </c>
      <c r="J165">
        <v>15.5</v>
      </c>
      <c r="K165">
        <v>16.100000000000001</v>
      </c>
      <c r="L165">
        <v>16.5</v>
      </c>
      <c r="M165">
        <v>16.399999999999999</v>
      </c>
      <c r="N165">
        <v>16.7</v>
      </c>
      <c r="O165">
        <v>16.899999999999999</v>
      </c>
      <c r="P165">
        <v>16.2</v>
      </c>
      <c r="Q165">
        <v>16.5</v>
      </c>
      <c r="R165">
        <v>17.3</v>
      </c>
      <c r="S165">
        <v>17.399999999999999</v>
      </c>
      <c r="T165">
        <v>17.2</v>
      </c>
      <c r="U165">
        <v>17.100000000000001</v>
      </c>
      <c r="V165">
        <v>17.2</v>
      </c>
      <c r="W165">
        <v>17.399999999999999</v>
      </c>
      <c r="X165">
        <v>17.5</v>
      </c>
      <c r="Y165">
        <v>17.5</v>
      </c>
      <c r="Z165">
        <v>17.5</v>
      </c>
      <c r="AA165">
        <v>17.7</v>
      </c>
      <c r="AD165" t="s">
        <v>1920</v>
      </c>
      <c r="AE165" t="s">
        <v>1539</v>
      </c>
      <c r="AF165" t="s">
        <v>1539</v>
      </c>
      <c r="AG165" t="s">
        <v>1539</v>
      </c>
      <c r="AH165" t="s">
        <v>1539</v>
      </c>
      <c r="AI165" t="s">
        <v>1539</v>
      </c>
      <c r="AJ165" t="s">
        <v>1539</v>
      </c>
      <c r="AK165" t="s">
        <v>1539</v>
      </c>
      <c r="AL165" t="s">
        <v>1539</v>
      </c>
      <c r="AM165" t="s">
        <v>1539</v>
      </c>
      <c r="AN165" t="s">
        <v>1539</v>
      </c>
      <c r="AO165" t="s">
        <v>1539</v>
      </c>
      <c r="AP165" t="s">
        <v>1539</v>
      </c>
      <c r="AQ165" t="s">
        <v>1539</v>
      </c>
      <c r="AR165" t="s">
        <v>1539</v>
      </c>
      <c r="AS165" t="s">
        <v>1539</v>
      </c>
      <c r="AT165" t="s">
        <v>1539</v>
      </c>
      <c r="AU165" t="s">
        <v>1539</v>
      </c>
      <c r="AV165" t="s">
        <v>1539</v>
      </c>
      <c r="AW165" t="s">
        <v>1539</v>
      </c>
      <c r="AX165" t="s">
        <v>1539</v>
      </c>
      <c r="AY165" t="s">
        <v>1539</v>
      </c>
      <c r="AZ165" t="s">
        <v>1539</v>
      </c>
      <c r="BA165" t="s">
        <v>1539</v>
      </c>
      <c r="BB165" t="s">
        <v>1539</v>
      </c>
      <c r="BC165" t="s">
        <v>1539</v>
      </c>
      <c r="BD165" t="s">
        <v>1539</v>
      </c>
      <c r="BE165" t="s">
        <v>1539</v>
      </c>
    </row>
    <row r="166" spans="1:57" x14ac:dyDescent="0.25">
      <c r="A166" s="30" t="s">
        <v>1508</v>
      </c>
      <c r="B166">
        <v>41.2</v>
      </c>
      <c r="C166">
        <v>43.1</v>
      </c>
      <c r="D166">
        <v>46.1</v>
      </c>
      <c r="E166">
        <v>48.1</v>
      </c>
      <c r="F166">
        <v>49.9</v>
      </c>
      <c r="G166">
        <v>51.2</v>
      </c>
      <c r="H166">
        <v>52.1</v>
      </c>
      <c r="I166">
        <v>52.9</v>
      </c>
      <c r="J166">
        <v>53.2</v>
      </c>
      <c r="K166">
        <v>50.5</v>
      </c>
      <c r="L166">
        <v>49.3</v>
      </c>
      <c r="M166">
        <v>46</v>
      </c>
      <c r="N166">
        <v>43.6</v>
      </c>
      <c r="O166">
        <v>41</v>
      </c>
      <c r="P166">
        <v>38.6</v>
      </c>
      <c r="Q166">
        <v>35.700000000000003</v>
      </c>
      <c r="R166">
        <v>33.5</v>
      </c>
      <c r="S166">
        <v>28.9</v>
      </c>
      <c r="T166">
        <v>26.6</v>
      </c>
      <c r="U166">
        <v>25</v>
      </c>
      <c r="V166">
        <v>24.1</v>
      </c>
      <c r="W166">
        <v>22.8</v>
      </c>
      <c r="X166">
        <v>20.399999999999999</v>
      </c>
      <c r="Y166">
        <v>18.5</v>
      </c>
      <c r="Z166">
        <v>16.600000000000001</v>
      </c>
      <c r="AA166">
        <v>15.1</v>
      </c>
      <c r="AD166" t="s">
        <v>1720</v>
      </c>
      <c r="AE166" t="s">
        <v>1539</v>
      </c>
      <c r="AF166" t="s">
        <v>1539</v>
      </c>
      <c r="AG166" t="s">
        <v>1539</v>
      </c>
      <c r="AH166" t="s">
        <v>1539</v>
      </c>
      <c r="AI166" t="s">
        <v>1539</v>
      </c>
      <c r="AJ166" t="s">
        <v>1539</v>
      </c>
      <c r="AK166" t="s">
        <v>1539</v>
      </c>
      <c r="AL166" t="s">
        <v>1539</v>
      </c>
      <c r="AM166" t="s">
        <v>1539</v>
      </c>
      <c r="AN166" t="s">
        <v>1539</v>
      </c>
      <c r="AO166" t="s">
        <v>1539</v>
      </c>
      <c r="AP166" t="s">
        <v>1539</v>
      </c>
      <c r="AQ166" t="s">
        <v>1539</v>
      </c>
      <c r="AR166" t="s">
        <v>1539</v>
      </c>
      <c r="AS166" t="s">
        <v>1539</v>
      </c>
      <c r="AT166" t="s">
        <v>1539</v>
      </c>
      <c r="AU166" t="s">
        <v>1539</v>
      </c>
      <c r="AV166" t="s">
        <v>1539</v>
      </c>
      <c r="AW166" t="s">
        <v>1539</v>
      </c>
      <c r="AX166" t="s">
        <v>1539</v>
      </c>
      <c r="AY166" t="s">
        <v>1539</v>
      </c>
      <c r="AZ166" t="s">
        <v>1539</v>
      </c>
      <c r="BA166" t="s">
        <v>1539</v>
      </c>
      <c r="BB166" t="s">
        <v>1539</v>
      </c>
      <c r="BC166" t="s">
        <v>1539</v>
      </c>
      <c r="BD166" t="s">
        <v>1539</v>
      </c>
      <c r="BE166" t="s">
        <v>1539</v>
      </c>
    </row>
    <row r="167" spans="1:57" x14ac:dyDescent="0.25">
      <c r="A167" s="20" t="s">
        <v>1512</v>
      </c>
      <c r="B167">
        <v>12.1</v>
      </c>
      <c r="C167">
        <v>12.1</v>
      </c>
      <c r="D167">
        <v>12.4</v>
      </c>
      <c r="E167">
        <v>12.6</v>
      </c>
      <c r="F167">
        <v>13.3</v>
      </c>
      <c r="G167">
        <v>13.5</v>
      </c>
      <c r="H167">
        <v>14.1</v>
      </c>
      <c r="I167">
        <v>14.4</v>
      </c>
      <c r="J167">
        <v>14.2</v>
      </c>
      <c r="K167">
        <v>13.7</v>
      </c>
      <c r="L167">
        <v>13.3</v>
      </c>
      <c r="M167">
        <v>10.8</v>
      </c>
      <c r="N167">
        <v>11.7</v>
      </c>
      <c r="O167">
        <v>11</v>
      </c>
      <c r="P167">
        <v>10.9</v>
      </c>
      <c r="Q167">
        <v>11.3</v>
      </c>
      <c r="R167">
        <v>11.1</v>
      </c>
      <c r="S167">
        <v>13.2</v>
      </c>
      <c r="T167">
        <v>11.3</v>
      </c>
      <c r="U167">
        <v>9.6</v>
      </c>
      <c r="V167">
        <v>11.5</v>
      </c>
      <c r="W167">
        <v>10.9</v>
      </c>
      <c r="X167">
        <v>10.5</v>
      </c>
      <c r="Y167">
        <v>10.7</v>
      </c>
      <c r="Z167">
        <v>10.9</v>
      </c>
      <c r="AA167">
        <v>11.6</v>
      </c>
      <c r="AD167" t="s">
        <v>1926</v>
      </c>
      <c r="AE167">
        <v>0.2</v>
      </c>
      <c r="AF167">
        <v>0.2</v>
      </c>
      <c r="AG167">
        <v>0.2</v>
      </c>
      <c r="AH167">
        <v>0.1</v>
      </c>
      <c r="AI167">
        <v>0.1</v>
      </c>
      <c r="AJ167">
        <v>0.1</v>
      </c>
      <c r="AK167">
        <v>0.1</v>
      </c>
      <c r="AL167">
        <v>0.1</v>
      </c>
      <c r="AM167">
        <v>0.1</v>
      </c>
      <c r="AN167">
        <v>0.1</v>
      </c>
      <c r="AO167">
        <v>0.1</v>
      </c>
      <c r="AP167">
        <v>0.1</v>
      </c>
      <c r="AQ167">
        <v>0.1</v>
      </c>
      <c r="AR167">
        <v>0.1</v>
      </c>
      <c r="AS167">
        <v>0.1</v>
      </c>
      <c r="AT167">
        <v>0.1</v>
      </c>
      <c r="AU167">
        <v>0.1</v>
      </c>
      <c r="AV167">
        <v>0.1</v>
      </c>
      <c r="AW167">
        <v>0.1</v>
      </c>
      <c r="AX167">
        <v>0.1</v>
      </c>
      <c r="AY167">
        <v>0.1</v>
      </c>
      <c r="AZ167">
        <v>0.1</v>
      </c>
      <c r="BA167">
        <v>0.1</v>
      </c>
      <c r="BB167">
        <v>0.1</v>
      </c>
      <c r="BC167">
        <v>0.1</v>
      </c>
      <c r="BD167">
        <v>0.1</v>
      </c>
      <c r="BE167">
        <v>0.1</v>
      </c>
    </row>
    <row r="168" spans="1:57" x14ac:dyDescent="0.25">
      <c r="A168" s="20" t="s">
        <v>1503</v>
      </c>
      <c r="B168">
        <v>3.4</v>
      </c>
      <c r="C168">
        <v>3.5</v>
      </c>
      <c r="D168">
        <v>3.5</v>
      </c>
      <c r="E168">
        <v>3.6</v>
      </c>
      <c r="F168">
        <v>3.7</v>
      </c>
      <c r="G168">
        <v>3.7</v>
      </c>
      <c r="H168">
        <v>3.8</v>
      </c>
      <c r="I168">
        <v>3.8</v>
      </c>
      <c r="J168">
        <v>3.9</v>
      </c>
      <c r="K168">
        <v>4.0999999999999996</v>
      </c>
      <c r="L168">
        <v>4.0999999999999996</v>
      </c>
      <c r="M168">
        <v>4.0999999999999996</v>
      </c>
      <c r="N168">
        <v>4.2</v>
      </c>
      <c r="O168">
        <v>4.3</v>
      </c>
      <c r="P168">
        <v>4.4000000000000004</v>
      </c>
      <c r="Q168">
        <v>4.4000000000000004</v>
      </c>
      <c r="R168">
        <v>4.5</v>
      </c>
      <c r="S168">
        <v>4.5</v>
      </c>
      <c r="T168">
        <v>4.5</v>
      </c>
      <c r="U168">
        <v>4.5</v>
      </c>
      <c r="V168">
        <v>4.5</v>
      </c>
      <c r="W168">
        <v>4.8</v>
      </c>
      <c r="X168">
        <v>4.8</v>
      </c>
      <c r="Y168">
        <v>4.9000000000000004</v>
      </c>
      <c r="Z168">
        <v>4.9000000000000004</v>
      </c>
      <c r="AA168">
        <v>5</v>
      </c>
      <c r="AD168" t="s">
        <v>1930</v>
      </c>
      <c r="AE168">
        <v>354.8</v>
      </c>
      <c r="AF168">
        <v>353.7</v>
      </c>
      <c r="AG168">
        <v>357</v>
      </c>
      <c r="AH168">
        <v>369.3</v>
      </c>
      <c r="AI168">
        <v>360</v>
      </c>
      <c r="AJ168">
        <v>372.1</v>
      </c>
      <c r="AK168">
        <v>379</v>
      </c>
      <c r="AL168">
        <v>369.8</v>
      </c>
      <c r="AM168">
        <v>384.5</v>
      </c>
      <c r="AN168">
        <v>359.6</v>
      </c>
      <c r="AO168">
        <v>358.5</v>
      </c>
      <c r="AP168">
        <v>360.5</v>
      </c>
      <c r="AQ168">
        <v>358.8</v>
      </c>
      <c r="AR168">
        <v>362.6</v>
      </c>
      <c r="AS168">
        <v>382.5</v>
      </c>
      <c r="AT168">
        <v>357.8</v>
      </c>
      <c r="AU168">
        <v>366.6</v>
      </c>
      <c r="AV168">
        <v>375</v>
      </c>
      <c r="AW168">
        <v>357.5</v>
      </c>
      <c r="AX168">
        <v>358.4</v>
      </c>
      <c r="AY168">
        <v>366.8</v>
      </c>
      <c r="AZ168">
        <v>359.8</v>
      </c>
      <c r="BA168">
        <v>335.8</v>
      </c>
      <c r="BB168">
        <v>363.2</v>
      </c>
      <c r="BC168">
        <v>361.2</v>
      </c>
      <c r="BD168">
        <v>379.6</v>
      </c>
      <c r="BE168">
        <v>369.5</v>
      </c>
    </row>
    <row r="169" spans="1:57" x14ac:dyDescent="0.25">
      <c r="A169" s="20" t="s">
        <v>1513</v>
      </c>
      <c r="B169">
        <v>15.2</v>
      </c>
      <c r="C169">
        <v>14.9</v>
      </c>
      <c r="D169">
        <v>13</v>
      </c>
      <c r="E169">
        <v>13.9</v>
      </c>
      <c r="F169">
        <v>13.5</v>
      </c>
      <c r="G169">
        <v>16.899999999999999</v>
      </c>
      <c r="H169">
        <v>16.7</v>
      </c>
      <c r="I169">
        <v>9.4</v>
      </c>
      <c r="J169">
        <v>5.0999999999999996</v>
      </c>
      <c r="K169">
        <v>4.7</v>
      </c>
      <c r="L169">
        <v>5.3</v>
      </c>
      <c r="M169">
        <v>4.5</v>
      </c>
      <c r="N169">
        <v>4.9000000000000004</v>
      </c>
      <c r="O169">
        <v>5.5</v>
      </c>
      <c r="P169">
        <v>3.7</v>
      </c>
      <c r="Q169">
        <v>7.1</v>
      </c>
      <c r="R169">
        <v>8.6</v>
      </c>
      <c r="S169">
        <v>10.3</v>
      </c>
      <c r="T169">
        <v>2.5</v>
      </c>
      <c r="U169">
        <v>2.7</v>
      </c>
      <c r="V169">
        <v>4.2</v>
      </c>
      <c r="W169">
        <v>10.199999999999999</v>
      </c>
      <c r="X169">
        <v>5.5</v>
      </c>
      <c r="Y169">
        <v>3.9</v>
      </c>
      <c r="Z169">
        <v>5.4</v>
      </c>
      <c r="AA169">
        <v>4.3</v>
      </c>
      <c r="AD169" t="s">
        <v>288</v>
      </c>
      <c r="AE169">
        <v>250.5</v>
      </c>
      <c r="AF169">
        <v>247.8</v>
      </c>
      <c r="AG169">
        <v>249.4</v>
      </c>
      <c r="AH169">
        <v>257.89999999999998</v>
      </c>
      <c r="AI169">
        <v>244.9</v>
      </c>
      <c r="AJ169">
        <v>251.3</v>
      </c>
      <c r="AK169">
        <v>256</v>
      </c>
      <c r="AL169">
        <v>252.3</v>
      </c>
      <c r="AM169">
        <v>270.89999999999998</v>
      </c>
      <c r="AN169">
        <v>248.3</v>
      </c>
      <c r="AO169">
        <v>246.6</v>
      </c>
      <c r="AP169">
        <v>254.9</v>
      </c>
      <c r="AQ169">
        <v>252.6</v>
      </c>
      <c r="AR169">
        <v>257.2</v>
      </c>
      <c r="AS169">
        <v>280.5</v>
      </c>
      <c r="AT169">
        <v>253.5</v>
      </c>
      <c r="AU169">
        <v>262.60000000000002</v>
      </c>
      <c r="AV169">
        <v>270.5</v>
      </c>
      <c r="AW169">
        <v>265.60000000000002</v>
      </c>
      <c r="AX169">
        <v>270.2</v>
      </c>
      <c r="AY169">
        <v>274.3</v>
      </c>
      <c r="AZ169">
        <v>263.89999999999998</v>
      </c>
      <c r="BA169">
        <v>247.9</v>
      </c>
      <c r="BB169">
        <v>276.60000000000002</v>
      </c>
      <c r="BC169">
        <v>274</v>
      </c>
      <c r="BD169">
        <v>295</v>
      </c>
      <c r="BE169">
        <v>283.60000000000002</v>
      </c>
    </row>
    <row r="170" spans="1:57" x14ac:dyDescent="0.25">
      <c r="A170" s="30" t="s">
        <v>1514</v>
      </c>
      <c r="B170">
        <v>4.2</v>
      </c>
      <c r="C170">
        <v>4.0999999999999996</v>
      </c>
      <c r="D170">
        <v>3.9</v>
      </c>
      <c r="E170">
        <v>4.4000000000000004</v>
      </c>
      <c r="F170">
        <v>4.4000000000000004</v>
      </c>
      <c r="G170">
        <v>4.4000000000000004</v>
      </c>
      <c r="H170">
        <v>4.4000000000000004</v>
      </c>
      <c r="I170">
        <v>4.7</v>
      </c>
      <c r="J170">
        <v>4.7</v>
      </c>
      <c r="K170">
        <v>4.7</v>
      </c>
      <c r="L170">
        <v>4.7</v>
      </c>
      <c r="M170">
        <v>4.7</v>
      </c>
      <c r="N170">
        <v>4.2</v>
      </c>
      <c r="O170">
        <v>4.2</v>
      </c>
      <c r="P170">
        <v>4.2</v>
      </c>
      <c r="Q170">
        <v>4.2</v>
      </c>
      <c r="R170">
        <v>4.2</v>
      </c>
      <c r="S170">
        <v>4.2</v>
      </c>
      <c r="T170">
        <v>4.2</v>
      </c>
      <c r="U170">
        <v>4.2</v>
      </c>
      <c r="V170">
        <v>4.2</v>
      </c>
      <c r="W170">
        <v>4.2</v>
      </c>
      <c r="X170">
        <v>4.2</v>
      </c>
      <c r="Y170">
        <v>4.2</v>
      </c>
      <c r="Z170">
        <v>4.2</v>
      </c>
      <c r="AA170">
        <v>4.2</v>
      </c>
      <c r="AD170" t="s">
        <v>1928</v>
      </c>
      <c r="AE170">
        <v>11.1</v>
      </c>
      <c r="AF170">
        <v>11</v>
      </c>
      <c r="AG170">
        <v>11.2</v>
      </c>
      <c r="AH170">
        <v>11.4</v>
      </c>
      <c r="AI170">
        <v>11.6</v>
      </c>
      <c r="AJ170">
        <v>11.7</v>
      </c>
      <c r="AK170">
        <v>12</v>
      </c>
      <c r="AL170">
        <v>12</v>
      </c>
      <c r="AM170">
        <v>11.9</v>
      </c>
      <c r="AN170">
        <v>12</v>
      </c>
      <c r="AO170">
        <v>12.7</v>
      </c>
      <c r="AP170">
        <v>12.8</v>
      </c>
      <c r="AQ170">
        <v>14.1</v>
      </c>
      <c r="AR170">
        <v>15.2</v>
      </c>
      <c r="AS170">
        <v>16.5</v>
      </c>
      <c r="AT170">
        <v>17.5</v>
      </c>
      <c r="AU170">
        <v>17.399999999999999</v>
      </c>
      <c r="AV170">
        <v>17.600000000000001</v>
      </c>
      <c r="AW170">
        <v>17.5</v>
      </c>
      <c r="AX170">
        <v>17</v>
      </c>
      <c r="AY170">
        <v>18.7</v>
      </c>
      <c r="AZ170">
        <v>17.600000000000001</v>
      </c>
      <c r="BA170">
        <v>16.899999999999999</v>
      </c>
      <c r="BB170">
        <v>18.7</v>
      </c>
      <c r="BC170">
        <v>19</v>
      </c>
      <c r="BD170">
        <v>18.100000000000001</v>
      </c>
      <c r="BE170">
        <v>18.600000000000001</v>
      </c>
    </row>
    <row r="171" spans="1:57" x14ac:dyDescent="0.25">
      <c r="A171" s="20" t="s">
        <v>1507</v>
      </c>
      <c r="B171">
        <v>0.3</v>
      </c>
      <c r="C171">
        <v>0.4</v>
      </c>
      <c r="D171">
        <v>0.4</v>
      </c>
      <c r="E171">
        <v>0.6</v>
      </c>
      <c r="F171">
        <v>0.7</v>
      </c>
      <c r="G171">
        <v>0.8</v>
      </c>
      <c r="H171">
        <v>0.9</v>
      </c>
      <c r="I171">
        <v>1</v>
      </c>
      <c r="J171">
        <v>1.1000000000000001</v>
      </c>
      <c r="K171">
        <v>1.2</v>
      </c>
      <c r="L171">
        <v>1.3</v>
      </c>
      <c r="M171">
        <v>1.3</v>
      </c>
      <c r="N171">
        <v>1.4</v>
      </c>
      <c r="O171">
        <v>1.5</v>
      </c>
      <c r="P171">
        <v>1.7</v>
      </c>
      <c r="Q171">
        <v>1.7</v>
      </c>
      <c r="R171">
        <v>1.7</v>
      </c>
      <c r="S171">
        <v>1.8</v>
      </c>
      <c r="T171">
        <v>1.8</v>
      </c>
      <c r="U171">
        <v>1.7</v>
      </c>
      <c r="V171">
        <v>1.6</v>
      </c>
      <c r="W171">
        <v>1.7</v>
      </c>
      <c r="X171">
        <v>1.7</v>
      </c>
      <c r="Y171">
        <v>1.8</v>
      </c>
      <c r="Z171">
        <v>1.9</v>
      </c>
      <c r="AA171">
        <v>1.9</v>
      </c>
      <c r="AD171" t="s">
        <v>1929</v>
      </c>
      <c r="AE171">
        <v>41.7</v>
      </c>
      <c r="AF171">
        <v>43.6</v>
      </c>
      <c r="AG171">
        <v>46.6</v>
      </c>
      <c r="AH171">
        <v>48.6</v>
      </c>
      <c r="AI171">
        <v>50.6</v>
      </c>
      <c r="AJ171">
        <v>52.2</v>
      </c>
      <c r="AK171">
        <v>53.5</v>
      </c>
      <c r="AL171">
        <v>54.4</v>
      </c>
      <c r="AM171">
        <v>54.8</v>
      </c>
      <c r="AN171">
        <v>52.4</v>
      </c>
      <c r="AO171">
        <v>51.4</v>
      </c>
      <c r="AP171">
        <v>48.5</v>
      </c>
      <c r="AQ171">
        <v>46.5</v>
      </c>
      <c r="AR171">
        <v>44.2</v>
      </c>
      <c r="AS171">
        <v>41.7</v>
      </c>
      <c r="AT171">
        <v>38.799999999999997</v>
      </c>
      <c r="AU171">
        <v>36.5</v>
      </c>
      <c r="AV171">
        <v>32.700000000000003</v>
      </c>
      <c r="AW171">
        <v>30.4</v>
      </c>
      <c r="AX171">
        <v>28.9</v>
      </c>
      <c r="AY171">
        <v>27.9</v>
      </c>
      <c r="AZ171">
        <v>26.6</v>
      </c>
      <c r="BA171">
        <v>24.3</v>
      </c>
      <c r="BB171">
        <v>22.5</v>
      </c>
      <c r="BC171">
        <v>20.6</v>
      </c>
      <c r="BD171">
        <v>19.3</v>
      </c>
      <c r="BE171">
        <v>18.399999999999999</v>
      </c>
    </row>
    <row r="172" spans="1:57" x14ac:dyDescent="0.25">
      <c r="A172" s="20" t="s">
        <v>1480</v>
      </c>
      <c r="B172">
        <v>0.5</v>
      </c>
      <c r="C172">
        <v>0.4</v>
      </c>
      <c r="D172">
        <v>0.4</v>
      </c>
      <c r="E172">
        <v>0.4</v>
      </c>
      <c r="F172">
        <v>0.4</v>
      </c>
      <c r="G172">
        <v>0.4</v>
      </c>
      <c r="H172">
        <v>0.4</v>
      </c>
      <c r="I172">
        <v>0.4</v>
      </c>
      <c r="J172">
        <v>0.4</v>
      </c>
      <c r="K172">
        <v>0.4</v>
      </c>
      <c r="L172">
        <v>0.4</v>
      </c>
      <c r="M172">
        <v>0.4</v>
      </c>
      <c r="N172">
        <v>0.4</v>
      </c>
      <c r="O172">
        <v>0.4</v>
      </c>
      <c r="P172">
        <v>0.4</v>
      </c>
      <c r="Q172">
        <v>0.4</v>
      </c>
      <c r="R172">
        <v>0.4</v>
      </c>
      <c r="S172">
        <v>0.4</v>
      </c>
      <c r="T172">
        <v>0.4</v>
      </c>
      <c r="U172">
        <v>0.3</v>
      </c>
      <c r="V172">
        <v>0.3</v>
      </c>
      <c r="W172">
        <v>0.3</v>
      </c>
      <c r="X172">
        <v>0.3</v>
      </c>
      <c r="Y172">
        <v>0.3</v>
      </c>
      <c r="Z172">
        <v>0.3</v>
      </c>
      <c r="AA172">
        <v>0.3</v>
      </c>
      <c r="AD172" t="s">
        <v>287</v>
      </c>
      <c r="AE172">
        <v>14</v>
      </c>
      <c r="AF172">
        <v>14.2</v>
      </c>
      <c r="AG172">
        <v>14.2</v>
      </c>
      <c r="AH172">
        <v>14</v>
      </c>
      <c r="AI172">
        <v>14.8</v>
      </c>
      <c r="AJ172">
        <v>15.1</v>
      </c>
      <c r="AK172">
        <v>15.1</v>
      </c>
      <c r="AL172">
        <v>15.3</v>
      </c>
      <c r="AM172">
        <v>15.5</v>
      </c>
      <c r="AN172">
        <v>16.100000000000001</v>
      </c>
      <c r="AO172">
        <v>16.5</v>
      </c>
      <c r="AP172">
        <v>16.399999999999999</v>
      </c>
      <c r="AQ172">
        <v>16.7</v>
      </c>
      <c r="AR172">
        <v>16.899999999999999</v>
      </c>
      <c r="AS172">
        <v>16.2</v>
      </c>
      <c r="AT172">
        <v>16.5</v>
      </c>
      <c r="AU172">
        <v>17.3</v>
      </c>
      <c r="AV172">
        <v>17.399999999999999</v>
      </c>
      <c r="AW172">
        <v>17.2</v>
      </c>
      <c r="AX172">
        <v>17.100000000000001</v>
      </c>
      <c r="AY172">
        <v>17.2</v>
      </c>
      <c r="AZ172">
        <v>17.399999999999999</v>
      </c>
      <c r="BA172">
        <v>17.5</v>
      </c>
      <c r="BB172">
        <v>17.5</v>
      </c>
      <c r="BC172">
        <v>17.5</v>
      </c>
      <c r="BD172">
        <v>17.7</v>
      </c>
      <c r="BE172">
        <v>18.100000000000001</v>
      </c>
    </row>
    <row r="173" spans="1:57" x14ac:dyDescent="0.25">
      <c r="A173" s="20" t="s">
        <v>1515</v>
      </c>
      <c r="B173" t="s">
        <v>1537</v>
      </c>
      <c r="C173" t="s">
        <v>1537</v>
      </c>
      <c r="D173" t="s">
        <v>1537</v>
      </c>
      <c r="E173" t="s">
        <v>1537</v>
      </c>
      <c r="F173" t="s">
        <v>1537</v>
      </c>
      <c r="G173">
        <v>0.1</v>
      </c>
      <c r="H173">
        <v>0.1</v>
      </c>
      <c r="I173">
        <v>0.1</v>
      </c>
      <c r="J173">
        <v>0.1</v>
      </c>
      <c r="K173">
        <v>0.1</v>
      </c>
      <c r="L173">
        <v>0.1</v>
      </c>
      <c r="M173">
        <v>0.1</v>
      </c>
      <c r="N173">
        <v>0.1</v>
      </c>
      <c r="O173">
        <v>0.1</v>
      </c>
      <c r="P173">
        <v>0.1</v>
      </c>
      <c r="Q173">
        <v>0.1</v>
      </c>
      <c r="R173">
        <v>0.2</v>
      </c>
      <c r="S173">
        <v>0.2</v>
      </c>
      <c r="T173">
        <v>0.2</v>
      </c>
      <c r="U173">
        <v>0.1</v>
      </c>
      <c r="V173">
        <v>0.1</v>
      </c>
      <c r="W173">
        <v>0.2</v>
      </c>
      <c r="X173">
        <v>0.2</v>
      </c>
      <c r="Y173">
        <v>0.2</v>
      </c>
      <c r="Z173">
        <v>0.2</v>
      </c>
      <c r="AA173">
        <v>0.2</v>
      </c>
      <c r="AD173" t="s">
        <v>1440</v>
      </c>
      <c r="AE173">
        <v>12.1</v>
      </c>
      <c r="AF173">
        <v>12.1</v>
      </c>
      <c r="AG173">
        <v>12.4</v>
      </c>
      <c r="AH173">
        <v>12.6</v>
      </c>
      <c r="AI173">
        <v>13.3</v>
      </c>
      <c r="AJ173">
        <v>13.5</v>
      </c>
      <c r="AK173">
        <v>14.1</v>
      </c>
      <c r="AL173">
        <v>14.4</v>
      </c>
      <c r="AM173">
        <v>14.2</v>
      </c>
      <c r="AN173">
        <v>13.7</v>
      </c>
      <c r="AO173">
        <v>13.3</v>
      </c>
      <c r="AP173">
        <v>10.8</v>
      </c>
      <c r="AQ173">
        <v>11.7</v>
      </c>
      <c r="AR173">
        <v>11</v>
      </c>
      <c r="AS173">
        <v>10.9</v>
      </c>
      <c r="AT173">
        <v>11.3</v>
      </c>
      <c r="AU173">
        <v>11.1</v>
      </c>
      <c r="AV173">
        <v>13.2</v>
      </c>
      <c r="AW173">
        <v>11.3</v>
      </c>
      <c r="AX173">
        <v>9.6</v>
      </c>
      <c r="AY173">
        <v>11.5</v>
      </c>
      <c r="AZ173">
        <v>10.9</v>
      </c>
      <c r="BA173">
        <v>10.5</v>
      </c>
      <c r="BB173">
        <v>10.7</v>
      </c>
      <c r="BC173">
        <v>10.9</v>
      </c>
      <c r="BD173">
        <v>11.6</v>
      </c>
      <c r="BE173">
        <v>10.199999999999999</v>
      </c>
    </row>
    <row r="174" spans="1:57" x14ac:dyDescent="0.25">
      <c r="A174" s="20" t="s">
        <v>1509</v>
      </c>
      <c r="B174">
        <v>0.1</v>
      </c>
      <c r="C174">
        <v>0.1</v>
      </c>
      <c r="D174">
        <v>0.1</v>
      </c>
      <c r="E174">
        <v>0.1</v>
      </c>
      <c r="F174">
        <v>0.1</v>
      </c>
      <c r="G174">
        <v>0.1</v>
      </c>
      <c r="H174">
        <v>0.1</v>
      </c>
      <c r="I174">
        <v>0.1</v>
      </c>
      <c r="J174">
        <v>0.1</v>
      </c>
      <c r="K174">
        <v>0.1</v>
      </c>
      <c r="L174">
        <v>0.1</v>
      </c>
      <c r="M174">
        <v>0.1</v>
      </c>
      <c r="N174">
        <v>0.1</v>
      </c>
      <c r="O174">
        <v>0.1</v>
      </c>
      <c r="P174">
        <v>0.1</v>
      </c>
      <c r="Q174">
        <v>0.1</v>
      </c>
      <c r="R174">
        <v>0.1</v>
      </c>
      <c r="S174">
        <v>0.1</v>
      </c>
      <c r="T174">
        <v>0.1</v>
      </c>
      <c r="U174">
        <v>0.1</v>
      </c>
      <c r="V174">
        <v>0.1</v>
      </c>
      <c r="W174">
        <v>0.1</v>
      </c>
      <c r="X174">
        <v>0.1</v>
      </c>
      <c r="Y174">
        <v>0.1</v>
      </c>
      <c r="Z174">
        <v>0.1</v>
      </c>
      <c r="AA174">
        <v>0.1</v>
      </c>
      <c r="AD174" t="s">
        <v>1931</v>
      </c>
      <c r="AE174">
        <v>15.2</v>
      </c>
      <c r="AF174">
        <v>14.9</v>
      </c>
      <c r="AG174">
        <v>13</v>
      </c>
      <c r="AH174">
        <v>13.9</v>
      </c>
      <c r="AI174">
        <v>13.5</v>
      </c>
      <c r="AJ174">
        <v>16.899999999999999</v>
      </c>
      <c r="AK174">
        <v>16.7</v>
      </c>
      <c r="AL174">
        <v>9.4</v>
      </c>
      <c r="AM174">
        <v>5.0999999999999996</v>
      </c>
      <c r="AN174">
        <v>4.7</v>
      </c>
      <c r="AO174">
        <v>5.3</v>
      </c>
      <c r="AP174">
        <v>4.5</v>
      </c>
      <c r="AQ174">
        <v>4.9000000000000004</v>
      </c>
      <c r="AR174">
        <v>5.5</v>
      </c>
      <c r="AS174">
        <v>3.7</v>
      </c>
      <c r="AT174">
        <v>7.1</v>
      </c>
      <c r="AU174">
        <v>8.6</v>
      </c>
      <c r="AV174">
        <v>10.3</v>
      </c>
      <c r="AW174">
        <v>2.5</v>
      </c>
      <c r="AX174">
        <v>2.7</v>
      </c>
      <c r="AY174">
        <v>4.2</v>
      </c>
      <c r="AZ174">
        <v>10.199999999999999</v>
      </c>
      <c r="BA174">
        <v>5.5</v>
      </c>
      <c r="BB174">
        <v>3.9</v>
      </c>
      <c r="BC174">
        <v>5.4</v>
      </c>
      <c r="BD174">
        <v>4.3</v>
      </c>
      <c r="BE174">
        <v>7</v>
      </c>
    </row>
    <row r="175" spans="1:57" x14ac:dyDescent="0.25">
      <c r="A175" s="30" t="s">
        <v>1497</v>
      </c>
      <c r="B175">
        <v>0.9</v>
      </c>
      <c r="C175">
        <v>1</v>
      </c>
      <c r="D175">
        <v>0.9</v>
      </c>
      <c r="E175">
        <v>0.8</v>
      </c>
      <c r="F175">
        <v>0.8</v>
      </c>
      <c r="G175">
        <v>0.8</v>
      </c>
      <c r="H175">
        <v>0.9</v>
      </c>
      <c r="I175">
        <v>0.9</v>
      </c>
      <c r="J175">
        <v>0.9</v>
      </c>
      <c r="K175">
        <v>0.9</v>
      </c>
      <c r="L175">
        <v>0.9</v>
      </c>
      <c r="M175">
        <v>0.8</v>
      </c>
      <c r="N175">
        <v>0.8</v>
      </c>
      <c r="O175">
        <v>0.9</v>
      </c>
      <c r="P175">
        <v>0.9</v>
      </c>
      <c r="Q175">
        <v>1</v>
      </c>
      <c r="R175">
        <v>1</v>
      </c>
      <c r="S175">
        <v>1</v>
      </c>
      <c r="T175">
        <v>1</v>
      </c>
      <c r="U175">
        <v>0.9</v>
      </c>
      <c r="V175">
        <v>1</v>
      </c>
      <c r="W175">
        <v>1</v>
      </c>
      <c r="X175">
        <v>0.9</v>
      </c>
      <c r="Y175">
        <v>0.9</v>
      </c>
      <c r="Z175">
        <v>0.9</v>
      </c>
      <c r="AA175">
        <v>0.9</v>
      </c>
      <c r="AD175" t="s">
        <v>1663</v>
      </c>
      <c r="AE175">
        <v>3.4</v>
      </c>
      <c r="AF175">
        <v>3.5</v>
      </c>
      <c r="AG175">
        <v>3.5</v>
      </c>
      <c r="AH175">
        <v>3.6</v>
      </c>
      <c r="AI175">
        <v>3.7</v>
      </c>
      <c r="AJ175">
        <v>3.7</v>
      </c>
      <c r="AK175">
        <v>3.8</v>
      </c>
      <c r="AL175">
        <v>3.8</v>
      </c>
      <c r="AM175">
        <v>3.9</v>
      </c>
      <c r="AN175">
        <v>4.0999999999999996</v>
      </c>
      <c r="AO175">
        <v>4.0999999999999996</v>
      </c>
      <c r="AP175">
        <v>4.0999999999999996</v>
      </c>
      <c r="AQ175">
        <v>4.2</v>
      </c>
      <c r="AR175">
        <v>4.3</v>
      </c>
      <c r="AS175">
        <v>4.4000000000000004</v>
      </c>
      <c r="AT175">
        <v>4.4000000000000004</v>
      </c>
      <c r="AU175">
        <v>4.5</v>
      </c>
      <c r="AV175">
        <v>4.5</v>
      </c>
      <c r="AW175">
        <v>4.5</v>
      </c>
      <c r="AX175">
        <v>4.5</v>
      </c>
      <c r="AY175">
        <v>4.5</v>
      </c>
      <c r="AZ175">
        <v>4.5</v>
      </c>
      <c r="BA175">
        <v>4.5999999999999996</v>
      </c>
      <c r="BB175">
        <v>4.7</v>
      </c>
      <c r="BC175">
        <v>4.8</v>
      </c>
      <c r="BD175">
        <v>4.8</v>
      </c>
      <c r="BE175">
        <v>5</v>
      </c>
    </row>
    <row r="176" spans="1:57" x14ac:dyDescent="0.25">
      <c r="A176" s="331" t="s">
        <v>1516</v>
      </c>
      <c r="B176">
        <v>46.6</v>
      </c>
      <c r="C176">
        <v>42.2</v>
      </c>
      <c r="D176">
        <v>48</v>
      </c>
      <c r="E176">
        <v>48.1</v>
      </c>
      <c r="F176">
        <v>53.8</v>
      </c>
      <c r="G176">
        <v>73</v>
      </c>
      <c r="H176">
        <v>82.7</v>
      </c>
      <c r="I176">
        <v>93</v>
      </c>
      <c r="J176">
        <v>112.1</v>
      </c>
      <c r="K176">
        <v>108.9</v>
      </c>
      <c r="L176">
        <v>113.7</v>
      </c>
      <c r="M176">
        <v>108.9</v>
      </c>
      <c r="N176">
        <v>115.5</v>
      </c>
      <c r="O176">
        <v>107.9</v>
      </c>
      <c r="P176">
        <v>117.7</v>
      </c>
      <c r="Q176">
        <v>120</v>
      </c>
      <c r="R176">
        <v>124.4</v>
      </c>
      <c r="S176">
        <v>136.1</v>
      </c>
      <c r="T176">
        <v>140.6</v>
      </c>
      <c r="U176">
        <v>139.4</v>
      </c>
      <c r="V176">
        <v>149.5</v>
      </c>
      <c r="W176">
        <v>154.30000000000001</v>
      </c>
      <c r="X176">
        <v>155.9</v>
      </c>
      <c r="Y176">
        <v>159</v>
      </c>
      <c r="Z176">
        <v>166.7</v>
      </c>
      <c r="AA176">
        <v>173.2</v>
      </c>
      <c r="AB176" s="102"/>
      <c r="AD176" t="s">
        <v>1932</v>
      </c>
      <c r="AE176">
        <v>4.2</v>
      </c>
      <c r="AF176">
        <v>4.0999999999999996</v>
      </c>
      <c r="AG176">
        <v>3.9</v>
      </c>
      <c r="AH176">
        <v>4.4000000000000004</v>
      </c>
      <c r="AI176">
        <v>4.4000000000000004</v>
      </c>
      <c r="AJ176">
        <v>4.4000000000000004</v>
      </c>
      <c r="AK176">
        <v>4.4000000000000004</v>
      </c>
      <c r="AL176">
        <v>4.7</v>
      </c>
      <c r="AM176">
        <v>4.7</v>
      </c>
      <c r="AN176">
        <v>4.7</v>
      </c>
      <c r="AO176">
        <v>4.7</v>
      </c>
      <c r="AP176">
        <v>4.7</v>
      </c>
      <c r="AQ176">
        <v>4.2</v>
      </c>
      <c r="AR176">
        <v>4.2</v>
      </c>
      <c r="AS176">
        <v>4.2</v>
      </c>
      <c r="AT176">
        <v>4.2</v>
      </c>
      <c r="AU176">
        <v>4.2</v>
      </c>
      <c r="AV176">
        <v>4.2</v>
      </c>
      <c r="AW176">
        <v>4.2</v>
      </c>
      <c r="AX176">
        <v>4.2</v>
      </c>
      <c r="AY176">
        <v>4.2</v>
      </c>
      <c r="AZ176">
        <v>4.2</v>
      </c>
      <c r="BA176">
        <v>4.2</v>
      </c>
      <c r="BB176">
        <v>4.2</v>
      </c>
      <c r="BC176">
        <v>4.2</v>
      </c>
      <c r="BD176">
        <v>4.2</v>
      </c>
      <c r="BE176">
        <v>4.2</v>
      </c>
    </row>
    <row r="177" spans="1:57" ht="24" x14ac:dyDescent="0.25">
      <c r="A177" s="30" t="s">
        <v>1517</v>
      </c>
      <c r="B177">
        <v>0.3</v>
      </c>
      <c r="C177">
        <v>0.6</v>
      </c>
      <c r="D177">
        <v>1.8</v>
      </c>
      <c r="E177">
        <v>5.9</v>
      </c>
      <c r="F177">
        <v>13.6</v>
      </c>
      <c r="G177">
        <v>30.9</v>
      </c>
      <c r="H177">
        <v>42.9</v>
      </c>
      <c r="I177">
        <v>54.5</v>
      </c>
      <c r="J177">
        <v>61.7</v>
      </c>
      <c r="K177">
        <v>69.900000000000006</v>
      </c>
      <c r="L177">
        <v>77.2</v>
      </c>
      <c r="M177">
        <v>83.7</v>
      </c>
      <c r="N177">
        <v>88.6</v>
      </c>
      <c r="O177">
        <v>92.1</v>
      </c>
      <c r="P177">
        <v>95.7</v>
      </c>
      <c r="Q177">
        <v>99.7</v>
      </c>
      <c r="R177">
        <v>106.6</v>
      </c>
      <c r="S177">
        <v>114.3</v>
      </c>
      <c r="T177">
        <v>123.1</v>
      </c>
      <c r="U177">
        <v>132.5</v>
      </c>
      <c r="V177">
        <v>141.19999999999999</v>
      </c>
      <c r="W177">
        <v>145.30000000000001</v>
      </c>
      <c r="X177">
        <v>150.19999999999999</v>
      </c>
      <c r="Y177">
        <v>154.6</v>
      </c>
      <c r="Z177">
        <v>161.30000000000001</v>
      </c>
      <c r="AA177" s="59">
        <v>168.5</v>
      </c>
      <c r="AB177" s="102"/>
      <c r="AD177" t="s">
        <v>1933</v>
      </c>
      <c r="AE177">
        <v>1.7</v>
      </c>
      <c r="AF177">
        <v>1.6</v>
      </c>
      <c r="AG177">
        <v>1.7</v>
      </c>
      <c r="AH177">
        <v>1.7</v>
      </c>
      <c r="AI177">
        <v>1.9</v>
      </c>
      <c r="AJ177">
        <v>1.9</v>
      </c>
      <c r="AK177">
        <v>1.9</v>
      </c>
      <c r="AL177">
        <v>2</v>
      </c>
      <c r="AM177">
        <v>2</v>
      </c>
      <c r="AN177">
        <v>2</v>
      </c>
      <c r="AO177">
        <v>2</v>
      </c>
      <c r="AP177">
        <v>1.9</v>
      </c>
      <c r="AQ177">
        <v>2</v>
      </c>
      <c r="AR177">
        <v>2</v>
      </c>
      <c r="AS177">
        <v>2.1</v>
      </c>
      <c r="AT177">
        <v>2.1</v>
      </c>
      <c r="AU177">
        <v>2.1</v>
      </c>
      <c r="AV177">
        <v>2.2000000000000002</v>
      </c>
      <c r="AW177">
        <v>2</v>
      </c>
      <c r="AX177">
        <v>1.9</v>
      </c>
      <c r="AY177">
        <v>2.1</v>
      </c>
      <c r="AZ177">
        <v>2</v>
      </c>
      <c r="BA177">
        <v>2</v>
      </c>
      <c r="BB177">
        <v>2</v>
      </c>
      <c r="BC177">
        <v>2</v>
      </c>
      <c r="BD177">
        <v>2</v>
      </c>
      <c r="BE177">
        <v>2</v>
      </c>
    </row>
    <row r="178" spans="1:57" x14ac:dyDescent="0.25">
      <c r="A178" s="20" t="s">
        <v>1518</v>
      </c>
      <c r="B178">
        <v>46.1</v>
      </c>
      <c r="C178">
        <v>41.4</v>
      </c>
      <c r="D178">
        <v>46</v>
      </c>
      <c r="E178">
        <v>41.9</v>
      </c>
      <c r="F178">
        <v>39.9</v>
      </c>
      <c r="G178">
        <v>41.7</v>
      </c>
      <c r="H178">
        <v>39.4</v>
      </c>
      <c r="I178">
        <v>38.1</v>
      </c>
      <c r="J178">
        <v>49.9</v>
      </c>
      <c r="K178">
        <v>38.5</v>
      </c>
      <c r="L178">
        <v>36.200000000000003</v>
      </c>
      <c r="M178">
        <v>25</v>
      </c>
      <c r="N178">
        <v>26.7</v>
      </c>
      <c r="O178">
        <v>15.6</v>
      </c>
      <c r="P178">
        <v>21.8</v>
      </c>
      <c r="Q178">
        <v>20</v>
      </c>
      <c r="R178">
        <v>17.5</v>
      </c>
      <c r="S178">
        <v>21.5</v>
      </c>
      <c r="T178">
        <v>17.2</v>
      </c>
      <c r="U178">
        <v>6.8</v>
      </c>
      <c r="V178">
        <v>8</v>
      </c>
      <c r="W178">
        <v>8.8000000000000007</v>
      </c>
      <c r="X178">
        <v>5.5</v>
      </c>
      <c r="Y178">
        <v>4.0999999999999996</v>
      </c>
      <c r="Z178">
        <v>5</v>
      </c>
      <c r="AA178" s="59">
        <v>4.3</v>
      </c>
      <c r="AD178" t="s">
        <v>1456</v>
      </c>
      <c r="AE178">
        <v>0.3</v>
      </c>
      <c r="AF178">
        <v>0.4</v>
      </c>
      <c r="AG178">
        <v>0.4</v>
      </c>
      <c r="AH178">
        <v>0.6</v>
      </c>
      <c r="AI178">
        <v>0.7</v>
      </c>
      <c r="AJ178">
        <v>0.8</v>
      </c>
      <c r="AK178">
        <v>0.9</v>
      </c>
      <c r="AL178">
        <v>1</v>
      </c>
      <c r="AM178">
        <v>1.1000000000000001</v>
      </c>
      <c r="AN178">
        <v>1.2</v>
      </c>
      <c r="AO178">
        <v>1.3</v>
      </c>
      <c r="AP178">
        <v>1.3</v>
      </c>
      <c r="AQ178">
        <v>1.4</v>
      </c>
      <c r="AR178">
        <v>1.5</v>
      </c>
      <c r="AS178">
        <v>1.7</v>
      </c>
      <c r="AT178">
        <v>1.7</v>
      </c>
      <c r="AU178">
        <v>1.7</v>
      </c>
      <c r="AV178">
        <v>1.8</v>
      </c>
      <c r="AW178">
        <v>1.8</v>
      </c>
      <c r="AX178">
        <v>1.7</v>
      </c>
      <c r="AY178">
        <v>1.6</v>
      </c>
      <c r="AZ178">
        <v>1.7</v>
      </c>
      <c r="BA178">
        <v>1.7</v>
      </c>
      <c r="BB178">
        <v>1.8</v>
      </c>
      <c r="BC178">
        <v>1.9</v>
      </c>
      <c r="BD178">
        <v>1.9</v>
      </c>
      <c r="BE178">
        <v>1.9</v>
      </c>
    </row>
    <row r="179" spans="1:57" x14ac:dyDescent="0.25">
      <c r="A179" s="20" t="s">
        <v>1515</v>
      </c>
      <c r="B179">
        <v>0.2</v>
      </c>
      <c r="C179">
        <v>0.2</v>
      </c>
      <c r="D179">
        <v>0.2</v>
      </c>
      <c r="E179">
        <v>0.3</v>
      </c>
      <c r="F179">
        <v>0.3</v>
      </c>
      <c r="G179">
        <v>0.4</v>
      </c>
      <c r="H179">
        <v>0.4</v>
      </c>
      <c r="I179">
        <v>0.4</v>
      </c>
      <c r="J179">
        <v>0.5</v>
      </c>
      <c r="K179">
        <v>0.5</v>
      </c>
      <c r="L179">
        <v>0.3</v>
      </c>
      <c r="M179">
        <v>0.2</v>
      </c>
      <c r="N179">
        <v>0.2</v>
      </c>
      <c r="O179">
        <v>0.2</v>
      </c>
      <c r="P179">
        <v>0.2</v>
      </c>
      <c r="Q179">
        <v>0.2</v>
      </c>
      <c r="R179">
        <v>0.2</v>
      </c>
      <c r="S179">
        <v>0.2</v>
      </c>
      <c r="T179">
        <v>0.2</v>
      </c>
      <c r="U179">
        <v>0.2</v>
      </c>
      <c r="V179">
        <v>0.2</v>
      </c>
      <c r="W179">
        <v>0.2</v>
      </c>
      <c r="X179">
        <v>0.2</v>
      </c>
      <c r="Y179">
        <v>0.2</v>
      </c>
      <c r="Z179">
        <v>0.3</v>
      </c>
      <c r="AA179" s="59">
        <v>0.3</v>
      </c>
      <c r="AD179" t="s">
        <v>1720</v>
      </c>
      <c r="AE179">
        <v>0.5</v>
      </c>
      <c r="AF179">
        <v>0.4</v>
      </c>
      <c r="AG179">
        <v>0.4</v>
      </c>
      <c r="AH179">
        <v>0.4</v>
      </c>
      <c r="AI179">
        <v>0.4</v>
      </c>
      <c r="AJ179">
        <v>0.4</v>
      </c>
      <c r="AK179">
        <v>0.4</v>
      </c>
      <c r="AL179">
        <v>0.4</v>
      </c>
      <c r="AM179">
        <v>0.4</v>
      </c>
      <c r="AN179">
        <v>0.4</v>
      </c>
      <c r="AO179">
        <v>0.4</v>
      </c>
      <c r="AP179">
        <v>0.4</v>
      </c>
      <c r="AQ179">
        <v>0.4</v>
      </c>
      <c r="AR179">
        <v>0.4</v>
      </c>
      <c r="AS179">
        <v>0.4</v>
      </c>
      <c r="AT179">
        <v>0.4</v>
      </c>
      <c r="AU179">
        <v>0.4</v>
      </c>
      <c r="AV179">
        <v>0.4</v>
      </c>
      <c r="AW179">
        <v>0.4</v>
      </c>
      <c r="AX179">
        <v>0.3</v>
      </c>
      <c r="AY179">
        <v>0.3</v>
      </c>
      <c r="AZ179">
        <v>0.3</v>
      </c>
      <c r="BA179">
        <v>0.3</v>
      </c>
      <c r="BB179">
        <v>0.3</v>
      </c>
      <c r="BC179">
        <v>0.3</v>
      </c>
      <c r="BD179">
        <v>0.3</v>
      </c>
      <c r="BE179">
        <v>0.3</v>
      </c>
    </row>
    <row r="180" spans="1:57" ht="24" x14ac:dyDescent="0.25">
      <c r="A180" s="20" t="s">
        <v>1495</v>
      </c>
      <c r="B180">
        <v>0</v>
      </c>
      <c r="C180">
        <v>0</v>
      </c>
      <c r="D180">
        <v>0</v>
      </c>
      <c r="E180">
        <v>0</v>
      </c>
      <c r="F180">
        <v>0</v>
      </c>
      <c r="G180">
        <v>0</v>
      </c>
      <c r="H180">
        <v>0</v>
      </c>
      <c r="I180">
        <v>0</v>
      </c>
      <c r="J180">
        <v>0</v>
      </c>
      <c r="K180">
        <v>0</v>
      </c>
      <c r="L180">
        <v>0</v>
      </c>
      <c r="M180">
        <v>0</v>
      </c>
      <c r="N180">
        <v>0</v>
      </c>
      <c r="O180">
        <v>0</v>
      </c>
      <c r="P180">
        <v>0</v>
      </c>
      <c r="Q180">
        <v>0</v>
      </c>
      <c r="R180" t="s">
        <v>1537</v>
      </c>
      <c r="S180" t="s">
        <v>1537</v>
      </c>
      <c r="T180" t="s">
        <v>1537</v>
      </c>
      <c r="U180" t="s">
        <v>1537</v>
      </c>
      <c r="V180" t="s">
        <v>1537</v>
      </c>
      <c r="W180" t="s">
        <v>1537</v>
      </c>
      <c r="X180" t="s">
        <v>1537</v>
      </c>
      <c r="Y180">
        <v>0.1</v>
      </c>
      <c r="Z180">
        <v>0.1</v>
      </c>
      <c r="AA180">
        <v>0.1</v>
      </c>
      <c r="AD180" t="s">
        <v>1934</v>
      </c>
      <c r="AE180" t="s">
        <v>1539</v>
      </c>
      <c r="AF180" t="s">
        <v>1539</v>
      </c>
      <c r="AG180" t="s">
        <v>1539</v>
      </c>
      <c r="AH180" t="s">
        <v>1539</v>
      </c>
      <c r="AI180" t="s">
        <v>1539</v>
      </c>
      <c r="AJ180">
        <v>0.1</v>
      </c>
      <c r="AK180">
        <v>0.1</v>
      </c>
      <c r="AL180">
        <v>0.1</v>
      </c>
      <c r="AM180">
        <v>0.1</v>
      </c>
      <c r="AN180">
        <v>0.1</v>
      </c>
      <c r="AO180">
        <v>0.1</v>
      </c>
      <c r="AP180">
        <v>0.1</v>
      </c>
      <c r="AQ180">
        <v>0.1</v>
      </c>
      <c r="AR180">
        <v>0.1</v>
      </c>
      <c r="AS180">
        <v>0.1</v>
      </c>
      <c r="AT180">
        <v>0.1</v>
      </c>
      <c r="AU180">
        <v>0.2</v>
      </c>
      <c r="AV180">
        <v>0.2</v>
      </c>
      <c r="AW180">
        <v>0.2</v>
      </c>
      <c r="AX180">
        <v>0.1</v>
      </c>
      <c r="AY180">
        <v>0.1</v>
      </c>
      <c r="AZ180">
        <v>0.2</v>
      </c>
      <c r="BA180">
        <v>0.2</v>
      </c>
      <c r="BB180">
        <v>0.2</v>
      </c>
      <c r="BC180">
        <v>0.2</v>
      </c>
      <c r="BD180">
        <v>0.2</v>
      </c>
      <c r="BE180">
        <v>0.2</v>
      </c>
    </row>
    <row r="181" spans="1:57" x14ac:dyDescent="0.25">
      <c r="A181" s="331" t="s">
        <v>1519</v>
      </c>
      <c r="B181">
        <v>24.3</v>
      </c>
      <c r="C181">
        <v>20.9</v>
      </c>
      <c r="D181">
        <v>19.5</v>
      </c>
      <c r="E181">
        <v>19.5</v>
      </c>
      <c r="F181">
        <v>18</v>
      </c>
      <c r="G181">
        <v>18.600000000000001</v>
      </c>
      <c r="H181">
        <v>19.899999999999999</v>
      </c>
      <c r="I181">
        <v>18.3</v>
      </c>
      <c r="J181">
        <v>17</v>
      </c>
      <c r="K181">
        <v>16.899999999999999</v>
      </c>
      <c r="L181">
        <v>15.9</v>
      </c>
      <c r="M181">
        <v>8.1999999999999993</v>
      </c>
      <c r="N181">
        <v>10.199999999999999</v>
      </c>
      <c r="O181">
        <v>8.1999999999999993</v>
      </c>
      <c r="P181">
        <v>6.8</v>
      </c>
      <c r="Q181">
        <v>6.7</v>
      </c>
      <c r="R181">
        <v>6.4</v>
      </c>
      <c r="S181">
        <v>7.8</v>
      </c>
      <c r="T181">
        <v>6.1</v>
      </c>
      <c r="U181">
        <v>3.9</v>
      </c>
      <c r="V181">
        <v>4.5999999999999996</v>
      </c>
      <c r="W181">
        <v>6.9</v>
      </c>
      <c r="X181">
        <v>6</v>
      </c>
      <c r="Y181">
        <v>5.8</v>
      </c>
      <c r="Z181">
        <v>5.8</v>
      </c>
      <c r="AA181">
        <v>5.2</v>
      </c>
      <c r="AD181" t="s">
        <v>1454</v>
      </c>
      <c r="AE181">
        <v>0.1</v>
      </c>
      <c r="AF181">
        <v>0.1</v>
      </c>
      <c r="AG181">
        <v>0.1</v>
      </c>
      <c r="AH181">
        <v>0.1</v>
      </c>
      <c r="AI181">
        <v>0.1</v>
      </c>
      <c r="AJ181">
        <v>0.1</v>
      </c>
      <c r="AK181">
        <v>0.1</v>
      </c>
      <c r="AL181">
        <v>0.1</v>
      </c>
      <c r="AM181">
        <v>0.1</v>
      </c>
      <c r="AN181">
        <v>0.1</v>
      </c>
      <c r="AO181">
        <v>0.1</v>
      </c>
      <c r="AP181">
        <v>0.1</v>
      </c>
      <c r="AQ181">
        <v>0.1</v>
      </c>
      <c r="AR181">
        <v>0.1</v>
      </c>
      <c r="AS181">
        <v>0.1</v>
      </c>
      <c r="AT181">
        <v>0.1</v>
      </c>
      <c r="AU181">
        <v>0.1</v>
      </c>
      <c r="AV181">
        <v>0.1</v>
      </c>
      <c r="AW181">
        <v>0.1</v>
      </c>
      <c r="AX181">
        <v>0.1</v>
      </c>
      <c r="AY181">
        <v>0.1</v>
      </c>
      <c r="AZ181">
        <v>0.1</v>
      </c>
      <c r="BA181">
        <v>0.1</v>
      </c>
      <c r="BB181">
        <v>0.1</v>
      </c>
      <c r="BC181">
        <v>0.1</v>
      </c>
      <c r="BD181">
        <v>0.1</v>
      </c>
      <c r="BE181">
        <v>0.1</v>
      </c>
    </row>
    <row r="182" spans="1:57" x14ac:dyDescent="0.25">
      <c r="A182" s="20" t="s">
        <v>1515</v>
      </c>
      <c r="B182">
        <v>2.8</v>
      </c>
      <c r="C182">
        <v>2.8</v>
      </c>
      <c r="D182">
        <v>2.8</v>
      </c>
      <c r="E182">
        <v>3.5</v>
      </c>
      <c r="F182">
        <v>3.9</v>
      </c>
      <c r="G182">
        <v>4.9000000000000004</v>
      </c>
      <c r="H182">
        <v>5.4</v>
      </c>
      <c r="I182">
        <v>5.7</v>
      </c>
      <c r="J182">
        <v>7</v>
      </c>
      <c r="K182">
        <v>7.1</v>
      </c>
      <c r="L182">
        <v>6</v>
      </c>
      <c r="M182">
        <v>4.2</v>
      </c>
      <c r="N182">
        <v>4.0999999999999996</v>
      </c>
      <c r="O182">
        <v>3.8</v>
      </c>
      <c r="P182">
        <v>3.5</v>
      </c>
      <c r="Q182">
        <v>3.2</v>
      </c>
      <c r="R182">
        <v>3.4</v>
      </c>
      <c r="S182">
        <v>3.3</v>
      </c>
      <c r="T182">
        <v>3</v>
      </c>
      <c r="U182">
        <v>2.1</v>
      </c>
      <c r="V182">
        <v>2.7</v>
      </c>
      <c r="W182">
        <v>3.4</v>
      </c>
      <c r="X182">
        <v>3</v>
      </c>
      <c r="Y182">
        <v>2.8</v>
      </c>
      <c r="Z182">
        <v>3.2</v>
      </c>
      <c r="AA182">
        <v>3.2</v>
      </c>
      <c r="AD182" t="s">
        <v>1926</v>
      </c>
      <c r="AE182">
        <v>0.9</v>
      </c>
      <c r="AF182">
        <v>1</v>
      </c>
      <c r="AG182">
        <v>0.9</v>
      </c>
      <c r="AH182">
        <v>0.8</v>
      </c>
      <c r="AI182">
        <v>0.8</v>
      </c>
      <c r="AJ182">
        <v>0.8</v>
      </c>
      <c r="AK182">
        <v>0.9</v>
      </c>
      <c r="AL182">
        <v>0.9</v>
      </c>
      <c r="AM182">
        <v>0.9</v>
      </c>
      <c r="AN182">
        <v>0.9</v>
      </c>
      <c r="AO182">
        <v>0.9</v>
      </c>
      <c r="AP182">
        <v>0.8</v>
      </c>
      <c r="AQ182">
        <v>0.8</v>
      </c>
      <c r="AR182">
        <v>0.9</v>
      </c>
      <c r="AS182">
        <v>0.9</v>
      </c>
      <c r="AT182">
        <v>1</v>
      </c>
      <c r="AU182">
        <v>1</v>
      </c>
      <c r="AV182">
        <v>1</v>
      </c>
      <c r="AW182">
        <v>1</v>
      </c>
      <c r="AX182">
        <v>0.9</v>
      </c>
      <c r="AY182">
        <v>1</v>
      </c>
      <c r="AZ182">
        <v>1</v>
      </c>
      <c r="BA182">
        <v>0.9</v>
      </c>
      <c r="BB182">
        <v>0.9</v>
      </c>
      <c r="BC182">
        <v>0.9</v>
      </c>
      <c r="BD182">
        <v>0.9</v>
      </c>
      <c r="BE182">
        <v>1</v>
      </c>
    </row>
    <row r="183" spans="1:57" x14ac:dyDescent="0.25">
      <c r="A183" s="20" t="s">
        <v>1486</v>
      </c>
      <c r="B183">
        <v>21.5</v>
      </c>
      <c r="C183">
        <v>18.100000000000001</v>
      </c>
      <c r="D183">
        <v>16.7</v>
      </c>
      <c r="E183">
        <v>16</v>
      </c>
      <c r="F183">
        <v>14.1</v>
      </c>
      <c r="G183">
        <v>13.8</v>
      </c>
      <c r="H183">
        <v>14.5</v>
      </c>
      <c r="I183">
        <v>12.6</v>
      </c>
      <c r="J183">
        <v>10</v>
      </c>
      <c r="K183">
        <v>9.8000000000000007</v>
      </c>
      <c r="L183">
        <v>9.9</v>
      </c>
      <c r="M183">
        <v>4</v>
      </c>
      <c r="N183">
        <v>6.1</v>
      </c>
      <c r="O183">
        <v>4.4000000000000004</v>
      </c>
      <c r="P183">
        <v>3.3</v>
      </c>
      <c r="Q183">
        <v>3.4</v>
      </c>
      <c r="R183">
        <v>2.9</v>
      </c>
      <c r="S183">
        <v>4.5</v>
      </c>
      <c r="T183">
        <v>3.2</v>
      </c>
      <c r="U183">
        <v>1.9</v>
      </c>
      <c r="V183">
        <v>1.9</v>
      </c>
      <c r="W183">
        <v>3.5</v>
      </c>
      <c r="X183">
        <v>2.9</v>
      </c>
      <c r="Y183">
        <v>3</v>
      </c>
      <c r="Z183">
        <v>2.5</v>
      </c>
      <c r="AA183">
        <v>2</v>
      </c>
      <c r="AD183" t="s">
        <v>1530</v>
      </c>
      <c r="AE183">
        <v>46.6</v>
      </c>
      <c r="AF183">
        <v>42.2</v>
      </c>
      <c r="AG183">
        <v>48</v>
      </c>
      <c r="AH183">
        <v>48.1</v>
      </c>
      <c r="AI183">
        <v>54.1</v>
      </c>
      <c r="AJ183">
        <v>73.5</v>
      </c>
      <c r="AK183">
        <v>83.4</v>
      </c>
      <c r="AL183">
        <v>94</v>
      </c>
      <c r="AM183">
        <v>113.4</v>
      </c>
      <c r="AN183">
        <v>110.6</v>
      </c>
      <c r="AO183">
        <v>115.6</v>
      </c>
      <c r="AP183">
        <v>111</v>
      </c>
      <c r="AQ183">
        <v>117.8</v>
      </c>
      <c r="AR183">
        <v>110.3</v>
      </c>
      <c r="AS183">
        <v>120.4</v>
      </c>
      <c r="AT183">
        <v>123</v>
      </c>
      <c r="AU183">
        <v>126.9</v>
      </c>
      <c r="AV183">
        <v>138.1</v>
      </c>
      <c r="AW183">
        <v>141.9</v>
      </c>
      <c r="AX183">
        <v>140</v>
      </c>
      <c r="AY183">
        <v>148</v>
      </c>
      <c r="AZ183">
        <v>151.5</v>
      </c>
      <c r="BA183">
        <v>150.5</v>
      </c>
      <c r="BB183">
        <v>151.1</v>
      </c>
      <c r="BC183">
        <v>156.69999999999999</v>
      </c>
      <c r="BD183">
        <v>160.80000000000001</v>
      </c>
      <c r="BE183">
        <v>162.30000000000001</v>
      </c>
    </row>
    <row r="184" spans="1:57" ht="24" x14ac:dyDescent="0.25">
      <c r="A184" s="20" t="s">
        <v>1520</v>
      </c>
      <c r="B184">
        <v>0</v>
      </c>
      <c r="C184">
        <v>0</v>
      </c>
      <c r="D184">
        <v>0</v>
      </c>
      <c r="E184">
        <v>0</v>
      </c>
      <c r="F184" t="s">
        <v>1537</v>
      </c>
      <c r="G184" t="s">
        <v>1537</v>
      </c>
      <c r="H184" t="s">
        <v>1537</v>
      </c>
      <c r="I184" t="s">
        <v>1537</v>
      </c>
      <c r="J184" t="s">
        <v>1537</v>
      </c>
      <c r="K184" t="s">
        <v>1537</v>
      </c>
      <c r="L184" t="s">
        <v>1537</v>
      </c>
      <c r="M184" t="s">
        <v>1537</v>
      </c>
      <c r="N184" t="s">
        <v>1537</v>
      </c>
      <c r="O184" t="s">
        <v>1537</v>
      </c>
      <c r="P184" t="s">
        <v>1537</v>
      </c>
      <c r="Q184" t="s">
        <v>1539</v>
      </c>
      <c r="R184" t="s">
        <v>1537</v>
      </c>
      <c r="S184" t="s">
        <v>1537</v>
      </c>
      <c r="T184" t="s">
        <v>1537</v>
      </c>
      <c r="U184" t="s">
        <v>1537</v>
      </c>
      <c r="V184" t="s">
        <v>1537</v>
      </c>
      <c r="W184" t="s">
        <v>1539</v>
      </c>
      <c r="X184" t="s">
        <v>1539</v>
      </c>
      <c r="Y184" t="s">
        <v>1539</v>
      </c>
      <c r="Z184" t="s">
        <v>1539</v>
      </c>
      <c r="AA184" t="s">
        <v>1539</v>
      </c>
      <c r="AD184" t="s">
        <v>1935</v>
      </c>
      <c r="AE184">
        <v>0.3</v>
      </c>
      <c r="AF184">
        <v>0.6</v>
      </c>
      <c r="AG184">
        <v>1.8</v>
      </c>
      <c r="AH184">
        <v>6</v>
      </c>
      <c r="AI184">
        <v>13.9</v>
      </c>
      <c r="AJ184">
        <v>31.4</v>
      </c>
      <c r="AK184">
        <v>43.6</v>
      </c>
      <c r="AL184">
        <v>55.5</v>
      </c>
      <c r="AM184">
        <v>63</v>
      </c>
      <c r="AN184">
        <v>71.599999999999994</v>
      </c>
      <c r="AO184">
        <v>79.099999999999994</v>
      </c>
      <c r="AP184">
        <v>85.8</v>
      </c>
      <c r="AQ184">
        <v>90.9</v>
      </c>
      <c r="AR184">
        <v>94.6</v>
      </c>
      <c r="AS184">
        <v>98.4</v>
      </c>
      <c r="AT184">
        <v>102.7</v>
      </c>
      <c r="AU184">
        <v>109.2</v>
      </c>
      <c r="AV184">
        <v>116.4</v>
      </c>
      <c r="AW184">
        <v>124.5</v>
      </c>
      <c r="AX184">
        <v>133.1</v>
      </c>
      <c r="AY184">
        <v>139.80000000000001</v>
      </c>
      <c r="AZ184">
        <v>142.5</v>
      </c>
      <c r="BA184">
        <v>144.80000000000001</v>
      </c>
      <c r="BB184">
        <v>146.80000000000001</v>
      </c>
      <c r="BC184">
        <v>151.30000000000001</v>
      </c>
      <c r="BD184">
        <v>156.1</v>
      </c>
      <c r="BE184">
        <v>159.1</v>
      </c>
    </row>
    <row r="185" spans="1:57" x14ac:dyDescent="0.25">
      <c r="A185" s="30" t="s">
        <v>1521</v>
      </c>
      <c r="B185">
        <v>28.8</v>
      </c>
      <c r="C185">
        <v>27.6</v>
      </c>
      <c r="D185">
        <v>27.8</v>
      </c>
      <c r="E185">
        <v>27.3</v>
      </c>
      <c r="F185">
        <v>26</v>
      </c>
      <c r="G185">
        <v>24.8</v>
      </c>
      <c r="H185">
        <v>24.3</v>
      </c>
      <c r="I185">
        <v>22.6</v>
      </c>
      <c r="J185">
        <v>19.899999999999999</v>
      </c>
      <c r="K185">
        <v>19.600000000000001</v>
      </c>
      <c r="L185">
        <v>16.600000000000001</v>
      </c>
      <c r="M185">
        <v>15.4</v>
      </c>
      <c r="N185">
        <v>14.3</v>
      </c>
      <c r="O185">
        <v>13.8</v>
      </c>
      <c r="P185">
        <v>12.4</v>
      </c>
      <c r="Q185">
        <v>11.7</v>
      </c>
      <c r="R185">
        <v>10.4</v>
      </c>
      <c r="S185">
        <v>9.1999999999999993</v>
      </c>
      <c r="T185">
        <v>8.3000000000000007</v>
      </c>
      <c r="U185">
        <v>7.9</v>
      </c>
      <c r="V185">
        <v>8.4</v>
      </c>
      <c r="W185">
        <v>9.1999999999999993</v>
      </c>
      <c r="X185">
        <v>6.8</v>
      </c>
      <c r="Y185">
        <v>6.4</v>
      </c>
      <c r="Z185">
        <v>6.6</v>
      </c>
      <c r="AA185">
        <v>5.8</v>
      </c>
      <c r="AB185" s="102"/>
      <c r="AD185" t="s">
        <v>281</v>
      </c>
      <c r="AE185">
        <v>46.1</v>
      </c>
      <c r="AF185">
        <v>41.4</v>
      </c>
      <c r="AG185">
        <v>46</v>
      </c>
      <c r="AH185">
        <v>41.9</v>
      </c>
      <c r="AI185">
        <v>39.9</v>
      </c>
      <c r="AJ185">
        <v>41.7</v>
      </c>
      <c r="AK185">
        <v>39.4</v>
      </c>
      <c r="AL185">
        <v>38.1</v>
      </c>
      <c r="AM185">
        <v>49.9</v>
      </c>
      <c r="AN185">
        <v>38.5</v>
      </c>
      <c r="AO185">
        <v>36.200000000000003</v>
      </c>
      <c r="AP185">
        <v>25</v>
      </c>
      <c r="AQ185">
        <v>26.7</v>
      </c>
      <c r="AR185">
        <v>15.6</v>
      </c>
      <c r="AS185">
        <v>21.8</v>
      </c>
      <c r="AT185">
        <v>20</v>
      </c>
      <c r="AU185">
        <v>17.5</v>
      </c>
      <c r="AV185">
        <v>21.5</v>
      </c>
      <c r="AW185">
        <v>17.2</v>
      </c>
      <c r="AX185">
        <v>6.8</v>
      </c>
      <c r="AY185">
        <v>8</v>
      </c>
      <c r="AZ185">
        <v>8.8000000000000007</v>
      </c>
      <c r="BA185">
        <v>5.5</v>
      </c>
      <c r="BB185">
        <v>4.0999999999999996</v>
      </c>
      <c r="BC185">
        <v>5</v>
      </c>
      <c r="BD185">
        <v>4.3</v>
      </c>
      <c r="BE185">
        <v>2.8</v>
      </c>
    </row>
    <row r="186" spans="1:57" ht="24" x14ac:dyDescent="0.25">
      <c r="A186" s="20" t="s">
        <v>1522</v>
      </c>
      <c r="B186">
        <v>23.1</v>
      </c>
      <c r="C186">
        <v>22.1</v>
      </c>
      <c r="D186">
        <v>22.1</v>
      </c>
      <c r="E186">
        <v>21.4</v>
      </c>
      <c r="F186">
        <v>20.2</v>
      </c>
      <c r="G186">
        <v>18.600000000000001</v>
      </c>
      <c r="H186">
        <v>17</v>
      </c>
      <c r="I186">
        <v>15.6</v>
      </c>
      <c r="J186">
        <v>13.3</v>
      </c>
      <c r="K186">
        <v>13.6</v>
      </c>
      <c r="L186">
        <v>12.7</v>
      </c>
      <c r="M186">
        <v>12</v>
      </c>
      <c r="N186">
        <v>10.9</v>
      </c>
      <c r="O186">
        <v>9.9</v>
      </c>
      <c r="P186">
        <v>9.1</v>
      </c>
      <c r="Q186">
        <v>8.3000000000000007</v>
      </c>
      <c r="R186">
        <v>6.9</v>
      </c>
      <c r="S186">
        <v>6.2</v>
      </c>
      <c r="T186">
        <v>6.1</v>
      </c>
      <c r="U186">
        <v>6</v>
      </c>
      <c r="V186">
        <v>5.9</v>
      </c>
      <c r="W186">
        <v>6</v>
      </c>
      <c r="X186">
        <v>4.8</v>
      </c>
      <c r="Y186">
        <v>4.5999999999999996</v>
      </c>
      <c r="Z186">
        <v>4.8</v>
      </c>
      <c r="AA186">
        <v>4.2</v>
      </c>
      <c r="AD186" t="s">
        <v>1934</v>
      </c>
      <c r="AE186">
        <v>0.2</v>
      </c>
      <c r="AF186">
        <v>0.2</v>
      </c>
      <c r="AG186">
        <v>0.2</v>
      </c>
      <c r="AH186">
        <v>0.3</v>
      </c>
      <c r="AI186">
        <v>0.3</v>
      </c>
      <c r="AJ186">
        <v>0.4</v>
      </c>
      <c r="AK186">
        <v>0.4</v>
      </c>
      <c r="AL186">
        <v>0.4</v>
      </c>
      <c r="AM186">
        <v>0.5</v>
      </c>
      <c r="AN186">
        <v>0.5</v>
      </c>
      <c r="AO186">
        <v>0.3</v>
      </c>
      <c r="AP186">
        <v>0.2</v>
      </c>
      <c r="AQ186">
        <v>0.2</v>
      </c>
      <c r="AR186">
        <v>0.2</v>
      </c>
      <c r="AS186">
        <v>0.2</v>
      </c>
      <c r="AT186">
        <v>0.2</v>
      </c>
      <c r="AU186">
        <v>0.2</v>
      </c>
      <c r="AV186">
        <v>0.2</v>
      </c>
      <c r="AW186">
        <v>0.2</v>
      </c>
      <c r="AX186">
        <v>0.2</v>
      </c>
      <c r="AY186">
        <v>0.2</v>
      </c>
      <c r="AZ186">
        <v>0.2</v>
      </c>
      <c r="BA186">
        <v>0.2</v>
      </c>
      <c r="BB186">
        <v>0.2</v>
      </c>
      <c r="BC186">
        <v>0.3</v>
      </c>
      <c r="BD186">
        <v>0.3</v>
      </c>
      <c r="BE186">
        <v>0.3</v>
      </c>
    </row>
    <row r="187" spans="1:57" ht="24" x14ac:dyDescent="0.25">
      <c r="A187" s="20" t="s">
        <v>1495</v>
      </c>
      <c r="B187">
        <v>5.2</v>
      </c>
      <c r="C187">
        <v>4.9000000000000004</v>
      </c>
      <c r="D187">
        <v>5.2</v>
      </c>
      <c r="E187">
        <v>5.3</v>
      </c>
      <c r="F187">
        <v>5.2</v>
      </c>
      <c r="G187">
        <v>5.4</v>
      </c>
      <c r="H187">
        <v>6.3</v>
      </c>
      <c r="I187">
        <v>6</v>
      </c>
      <c r="J187">
        <v>5.4</v>
      </c>
      <c r="K187">
        <v>4.8</v>
      </c>
      <c r="L187">
        <v>2.9</v>
      </c>
      <c r="M187">
        <v>2.7</v>
      </c>
      <c r="N187">
        <v>2.8</v>
      </c>
      <c r="O187">
        <v>3.3</v>
      </c>
      <c r="P187">
        <v>2.7</v>
      </c>
      <c r="Q187">
        <v>2.7</v>
      </c>
      <c r="R187">
        <v>2.8</v>
      </c>
      <c r="S187">
        <v>2.5</v>
      </c>
      <c r="T187">
        <v>1.8</v>
      </c>
      <c r="U187">
        <v>1.6</v>
      </c>
      <c r="V187">
        <v>2.1</v>
      </c>
      <c r="W187">
        <v>2.8</v>
      </c>
      <c r="X187">
        <v>1.6</v>
      </c>
      <c r="Y187">
        <v>1.5</v>
      </c>
      <c r="Z187">
        <v>1</v>
      </c>
      <c r="AA187">
        <v>0.9</v>
      </c>
      <c r="AD187" t="s">
        <v>280</v>
      </c>
      <c r="AE187">
        <v>0</v>
      </c>
      <c r="AF187">
        <v>0</v>
      </c>
      <c r="AG187">
        <v>0</v>
      </c>
      <c r="AH187">
        <v>0</v>
      </c>
      <c r="AI187">
        <v>0</v>
      </c>
      <c r="AJ187">
        <v>0</v>
      </c>
      <c r="AK187">
        <v>0</v>
      </c>
      <c r="AL187">
        <v>0</v>
      </c>
      <c r="AM187">
        <v>0</v>
      </c>
      <c r="AN187">
        <v>0</v>
      </c>
      <c r="AO187">
        <v>0</v>
      </c>
      <c r="AP187">
        <v>0</v>
      </c>
      <c r="AQ187">
        <v>0</v>
      </c>
      <c r="AR187">
        <v>0</v>
      </c>
      <c r="AS187">
        <v>0</v>
      </c>
      <c r="AT187">
        <v>0</v>
      </c>
      <c r="AU187" t="s">
        <v>1539</v>
      </c>
      <c r="AV187" t="s">
        <v>1539</v>
      </c>
      <c r="AW187" t="s">
        <v>1539</v>
      </c>
      <c r="AX187" t="s">
        <v>1539</v>
      </c>
      <c r="AY187" t="s">
        <v>1539</v>
      </c>
      <c r="AZ187" t="s">
        <v>1539</v>
      </c>
      <c r="BA187" t="s">
        <v>1539</v>
      </c>
      <c r="BB187">
        <v>0.1</v>
      </c>
      <c r="BC187">
        <v>0.1</v>
      </c>
      <c r="BD187">
        <v>0.1</v>
      </c>
      <c r="BE187">
        <v>0.1</v>
      </c>
    </row>
    <row r="188" spans="1:57" x14ac:dyDescent="0.25">
      <c r="A188" s="20" t="s">
        <v>1515</v>
      </c>
      <c r="B188">
        <v>0.5</v>
      </c>
      <c r="C188">
        <v>0.5</v>
      </c>
      <c r="D188">
        <v>0.5</v>
      </c>
      <c r="E188">
        <v>0.6</v>
      </c>
      <c r="F188">
        <v>0.7</v>
      </c>
      <c r="G188">
        <v>0.9</v>
      </c>
      <c r="H188">
        <v>1</v>
      </c>
      <c r="I188">
        <v>1</v>
      </c>
      <c r="J188">
        <v>1.2</v>
      </c>
      <c r="K188">
        <v>1.3</v>
      </c>
      <c r="L188">
        <v>1</v>
      </c>
      <c r="M188">
        <v>0.7</v>
      </c>
      <c r="N188">
        <v>0.6</v>
      </c>
      <c r="O188">
        <v>0.7</v>
      </c>
      <c r="P188">
        <v>0.7</v>
      </c>
      <c r="Q188">
        <v>0.7</v>
      </c>
      <c r="R188">
        <v>0.7</v>
      </c>
      <c r="S188">
        <v>0.5</v>
      </c>
      <c r="T188">
        <v>0.4</v>
      </c>
      <c r="U188">
        <v>0.3</v>
      </c>
      <c r="V188">
        <v>0.4</v>
      </c>
      <c r="W188">
        <v>0.4</v>
      </c>
      <c r="X188">
        <v>0.4</v>
      </c>
      <c r="Y188">
        <v>0.4</v>
      </c>
      <c r="Z188">
        <v>0.7</v>
      </c>
      <c r="AA188">
        <v>0.7</v>
      </c>
      <c r="AD188" t="s">
        <v>1531</v>
      </c>
      <c r="AE188">
        <v>24.3</v>
      </c>
      <c r="AF188">
        <v>20.9</v>
      </c>
      <c r="AG188">
        <v>19.5</v>
      </c>
      <c r="AH188">
        <v>19.5</v>
      </c>
      <c r="AI188">
        <v>18</v>
      </c>
      <c r="AJ188">
        <v>18.600000000000001</v>
      </c>
      <c r="AK188">
        <v>19.899999999999999</v>
      </c>
      <c r="AL188">
        <v>18.3</v>
      </c>
      <c r="AM188">
        <v>17</v>
      </c>
      <c r="AN188">
        <v>16.899999999999999</v>
      </c>
      <c r="AO188">
        <v>15.9</v>
      </c>
      <c r="AP188">
        <v>8.3000000000000007</v>
      </c>
      <c r="AQ188">
        <v>10.3</v>
      </c>
      <c r="AR188">
        <v>8.1999999999999993</v>
      </c>
      <c r="AS188">
        <v>6.9</v>
      </c>
      <c r="AT188">
        <v>6.7</v>
      </c>
      <c r="AU188">
        <v>6.4</v>
      </c>
      <c r="AV188">
        <v>7.9</v>
      </c>
      <c r="AW188">
        <v>6.2</v>
      </c>
      <c r="AX188">
        <v>4</v>
      </c>
      <c r="AY188">
        <v>4.7</v>
      </c>
      <c r="AZ188">
        <v>6.9</v>
      </c>
      <c r="BA188">
        <v>5.9</v>
      </c>
      <c r="BB188">
        <v>5.8</v>
      </c>
      <c r="BC188">
        <v>5.6</v>
      </c>
      <c r="BD188">
        <v>5.0999999999999996</v>
      </c>
      <c r="BE188">
        <v>4.3</v>
      </c>
    </row>
    <row r="189" spans="1:57" x14ac:dyDescent="0.25">
      <c r="A189" s="30" t="s">
        <v>1523</v>
      </c>
      <c r="B189" t="s">
        <v>1537</v>
      </c>
      <c r="C189" t="s">
        <v>1537</v>
      </c>
      <c r="D189" t="s">
        <v>1537</v>
      </c>
      <c r="E189">
        <v>0.1</v>
      </c>
      <c r="F189">
        <v>0.1</v>
      </c>
      <c r="G189">
        <v>0.1</v>
      </c>
      <c r="H189">
        <v>0.1</v>
      </c>
      <c r="I189">
        <v>0.1</v>
      </c>
      <c r="J189">
        <v>0.1</v>
      </c>
      <c r="K189">
        <v>0.1</v>
      </c>
      <c r="L189">
        <v>0.2</v>
      </c>
      <c r="M189">
        <v>0.2</v>
      </c>
      <c r="N189">
        <v>0.6</v>
      </c>
      <c r="O189">
        <v>0.5</v>
      </c>
      <c r="P189">
        <v>0.5</v>
      </c>
      <c r="Q189">
        <v>0.5</v>
      </c>
      <c r="R189">
        <v>0.7</v>
      </c>
      <c r="S189">
        <v>0.6</v>
      </c>
      <c r="T189">
        <v>0.6</v>
      </c>
      <c r="U189">
        <v>0.5</v>
      </c>
      <c r="V189">
        <v>0.5</v>
      </c>
      <c r="W189">
        <v>0.7</v>
      </c>
      <c r="X189">
        <v>0.6</v>
      </c>
      <c r="Y189">
        <v>0.6</v>
      </c>
      <c r="Z189">
        <v>0.5</v>
      </c>
      <c r="AA189">
        <v>0.6</v>
      </c>
      <c r="AD189" t="s">
        <v>1934</v>
      </c>
      <c r="AE189">
        <v>2.8</v>
      </c>
      <c r="AF189">
        <v>2.8</v>
      </c>
      <c r="AG189">
        <v>2.8</v>
      </c>
      <c r="AH189">
        <v>3.5</v>
      </c>
      <c r="AI189">
        <v>3.9</v>
      </c>
      <c r="AJ189">
        <v>4.9000000000000004</v>
      </c>
      <c r="AK189">
        <v>5.4</v>
      </c>
      <c r="AL189">
        <v>5.7</v>
      </c>
      <c r="AM189">
        <v>7</v>
      </c>
      <c r="AN189">
        <v>7.1</v>
      </c>
      <c r="AO189">
        <v>6</v>
      </c>
      <c r="AP189">
        <v>4.2</v>
      </c>
      <c r="AQ189">
        <v>4.2</v>
      </c>
      <c r="AR189">
        <v>3.8</v>
      </c>
      <c r="AS189">
        <v>3.6</v>
      </c>
      <c r="AT189">
        <v>3.3</v>
      </c>
      <c r="AU189">
        <v>3.5</v>
      </c>
      <c r="AV189">
        <v>3.4</v>
      </c>
      <c r="AW189">
        <v>3.1</v>
      </c>
      <c r="AX189">
        <v>2.1</v>
      </c>
      <c r="AY189">
        <v>2.8</v>
      </c>
      <c r="AZ189">
        <v>3.4</v>
      </c>
      <c r="BA189">
        <v>3</v>
      </c>
      <c r="BB189">
        <v>2.8</v>
      </c>
      <c r="BC189">
        <v>3.1</v>
      </c>
      <c r="BD189">
        <v>3.1</v>
      </c>
      <c r="BE189">
        <v>3</v>
      </c>
    </row>
    <row r="190" spans="1:57" x14ac:dyDescent="0.25">
      <c r="A190" s="21" t="s">
        <v>1515</v>
      </c>
      <c r="B190" t="s">
        <v>1537</v>
      </c>
      <c r="C190" t="s">
        <v>1537</v>
      </c>
      <c r="D190" t="s">
        <v>1537</v>
      </c>
      <c r="E190">
        <v>0.1</v>
      </c>
      <c r="F190">
        <v>0.1</v>
      </c>
      <c r="G190">
        <v>0.1</v>
      </c>
      <c r="H190">
        <v>0.1</v>
      </c>
      <c r="I190">
        <v>0.1</v>
      </c>
      <c r="J190">
        <v>0.1</v>
      </c>
      <c r="K190">
        <v>0.1</v>
      </c>
      <c r="L190">
        <v>0.2</v>
      </c>
      <c r="M190">
        <v>0.2</v>
      </c>
      <c r="N190">
        <v>0.6</v>
      </c>
      <c r="O190">
        <v>0.5</v>
      </c>
      <c r="P190">
        <v>0.5</v>
      </c>
      <c r="Q190">
        <v>0.5</v>
      </c>
      <c r="R190">
        <v>0.7</v>
      </c>
      <c r="S190">
        <v>0.6</v>
      </c>
      <c r="T190">
        <v>0.6</v>
      </c>
      <c r="U190">
        <v>0.5</v>
      </c>
      <c r="V190">
        <v>0.5</v>
      </c>
      <c r="W190">
        <v>0.7</v>
      </c>
      <c r="X190">
        <v>0.6</v>
      </c>
      <c r="Y190">
        <v>0.6</v>
      </c>
      <c r="Z190">
        <v>0.5</v>
      </c>
      <c r="AA190">
        <v>0.6</v>
      </c>
      <c r="AD190" t="s">
        <v>1601</v>
      </c>
      <c r="AE190">
        <v>21.5</v>
      </c>
      <c r="AF190">
        <v>18.100000000000001</v>
      </c>
      <c r="AG190">
        <v>16.7</v>
      </c>
      <c r="AH190">
        <v>16</v>
      </c>
      <c r="AI190">
        <v>14.1</v>
      </c>
      <c r="AJ190">
        <v>13.8</v>
      </c>
      <c r="AK190">
        <v>14.5</v>
      </c>
      <c r="AL190">
        <v>12.6</v>
      </c>
      <c r="AM190">
        <v>10</v>
      </c>
      <c r="AN190">
        <v>9.8000000000000007</v>
      </c>
      <c r="AO190">
        <v>9.9</v>
      </c>
      <c r="AP190">
        <v>4</v>
      </c>
      <c r="AQ190">
        <v>6.1</v>
      </c>
      <c r="AR190">
        <v>4.4000000000000004</v>
      </c>
      <c r="AS190">
        <v>3.3</v>
      </c>
      <c r="AT190">
        <v>3.4</v>
      </c>
      <c r="AU190">
        <v>2.9</v>
      </c>
      <c r="AV190">
        <v>4.5</v>
      </c>
      <c r="AW190">
        <v>3.2</v>
      </c>
      <c r="AX190">
        <v>1.9</v>
      </c>
      <c r="AY190">
        <v>1.9</v>
      </c>
      <c r="AZ190">
        <v>3.5</v>
      </c>
      <c r="BA190">
        <v>2.9</v>
      </c>
      <c r="BB190">
        <v>3</v>
      </c>
      <c r="BC190">
        <v>2.5</v>
      </c>
      <c r="BD190">
        <v>2</v>
      </c>
      <c r="BE190">
        <v>1.4</v>
      </c>
    </row>
    <row r="191" spans="1:57" x14ac:dyDescent="0.25">
      <c r="A191" s="22" t="s">
        <v>1524</v>
      </c>
      <c r="B191">
        <v>6363.1</v>
      </c>
      <c r="C191">
        <v>6308.3</v>
      </c>
      <c r="D191">
        <v>6420</v>
      </c>
      <c r="E191">
        <v>6530.5</v>
      </c>
      <c r="F191">
        <v>6621.6</v>
      </c>
      <c r="G191">
        <v>6709</v>
      </c>
      <c r="H191">
        <v>6903.1</v>
      </c>
      <c r="I191">
        <v>6962</v>
      </c>
      <c r="J191">
        <v>7017.5</v>
      </c>
      <c r="K191">
        <v>7056.8</v>
      </c>
      <c r="L191">
        <v>7213.9</v>
      </c>
      <c r="M191">
        <v>7095.2</v>
      </c>
      <c r="N191">
        <v>7131</v>
      </c>
      <c r="O191">
        <v>7171.5</v>
      </c>
      <c r="P191">
        <v>7304.6</v>
      </c>
      <c r="Q191">
        <v>7313.3</v>
      </c>
      <c r="R191">
        <v>7246.5</v>
      </c>
      <c r="S191">
        <v>7349.1</v>
      </c>
      <c r="T191">
        <v>7145.3</v>
      </c>
      <c r="U191">
        <v>6700.1</v>
      </c>
      <c r="V191">
        <v>6925.5</v>
      </c>
      <c r="W191">
        <v>6776.7</v>
      </c>
      <c r="X191">
        <v>6538.3</v>
      </c>
      <c r="Y191">
        <v>6680.1</v>
      </c>
      <c r="Z191">
        <v>6739.7</v>
      </c>
      <c r="AA191">
        <v>6586.7</v>
      </c>
      <c r="AD191" t="s">
        <v>1936</v>
      </c>
      <c r="AE191">
        <v>0</v>
      </c>
      <c r="AF191">
        <v>0</v>
      </c>
      <c r="AG191">
        <v>0</v>
      </c>
      <c r="AH191">
        <v>0</v>
      </c>
      <c r="AI191" t="s">
        <v>1539</v>
      </c>
      <c r="AJ191" t="s">
        <v>1539</v>
      </c>
      <c r="AK191" t="s">
        <v>1539</v>
      </c>
      <c r="AL191" t="s">
        <v>1539</v>
      </c>
      <c r="AM191" t="s">
        <v>1539</v>
      </c>
      <c r="AN191" t="s">
        <v>1539</v>
      </c>
      <c r="AO191" t="s">
        <v>1539</v>
      </c>
      <c r="AP191" t="s">
        <v>1539</v>
      </c>
      <c r="AQ191" t="s">
        <v>1539</v>
      </c>
      <c r="AR191" t="s">
        <v>1539</v>
      </c>
      <c r="AS191" t="s">
        <v>1539</v>
      </c>
      <c r="AT191" t="s">
        <v>1539</v>
      </c>
      <c r="AU191" t="s">
        <v>1539</v>
      </c>
      <c r="AV191" t="s">
        <v>1539</v>
      </c>
      <c r="AW191" t="s">
        <v>1539</v>
      </c>
      <c r="AX191" t="s">
        <v>1539</v>
      </c>
      <c r="AY191" t="s">
        <v>1539</v>
      </c>
      <c r="AZ191" t="s">
        <v>1539</v>
      </c>
      <c r="BA191" t="s">
        <v>1539</v>
      </c>
      <c r="BB191" t="s">
        <v>1539</v>
      </c>
      <c r="BC191" t="s">
        <v>1539</v>
      </c>
      <c r="BD191" t="s">
        <v>1539</v>
      </c>
      <c r="BE191" t="s">
        <v>1539</v>
      </c>
    </row>
    <row r="192" spans="1:57" x14ac:dyDescent="0.25">
      <c r="A192" s="105" t="s">
        <v>1525</v>
      </c>
      <c r="B192">
        <v>10.6</v>
      </c>
      <c r="C192">
        <v>11.4</v>
      </c>
      <c r="D192">
        <v>8.4</v>
      </c>
      <c r="E192">
        <v>7.4</v>
      </c>
      <c r="F192">
        <v>16.100000000000001</v>
      </c>
      <c r="G192">
        <v>7.4</v>
      </c>
      <c r="H192">
        <v>13.2</v>
      </c>
      <c r="I192">
        <v>7.1</v>
      </c>
      <c r="J192">
        <v>9.6999999999999993</v>
      </c>
      <c r="K192">
        <v>15.1</v>
      </c>
      <c r="L192">
        <v>20.8</v>
      </c>
      <c r="M192">
        <v>14.2</v>
      </c>
      <c r="N192">
        <v>26.3</v>
      </c>
      <c r="O192">
        <v>18.2</v>
      </c>
      <c r="P192">
        <v>25.8</v>
      </c>
      <c r="Q192">
        <v>23</v>
      </c>
      <c r="R192">
        <v>22</v>
      </c>
      <c r="S192">
        <v>28</v>
      </c>
      <c r="T192">
        <v>19.899999999999999</v>
      </c>
      <c r="U192">
        <v>18.8</v>
      </c>
      <c r="V192">
        <v>12.5</v>
      </c>
      <c r="W192">
        <v>19.899999999999999</v>
      </c>
      <c r="X192">
        <v>26.1</v>
      </c>
      <c r="Y192">
        <v>19.2</v>
      </c>
      <c r="Z192">
        <v>19.7</v>
      </c>
      <c r="AA192">
        <v>19.7</v>
      </c>
      <c r="AD192" t="s">
        <v>1532</v>
      </c>
      <c r="AE192">
        <v>28.8</v>
      </c>
      <c r="AF192">
        <v>27.6</v>
      </c>
      <c r="AG192">
        <v>27.8</v>
      </c>
      <c r="AH192">
        <v>27.3</v>
      </c>
      <c r="AI192">
        <v>26</v>
      </c>
      <c r="AJ192">
        <v>24.8</v>
      </c>
      <c r="AK192">
        <v>24.3</v>
      </c>
      <c r="AL192">
        <v>22.6</v>
      </c>
      <c r="AM192">
        <v>19.899999999999999</v>
      </c>
      <c r="AN192">
        <v>19.600000000000001</v>
      </c>
      <c r="AO192">
        <v>16.5</v>
      </c>
      <c r="AP192">
        <v>15.4</v>
      </c>
      <c r="AQ192">
        <v>14.3</v>
      </c>
      <c r="AR192">
        <v>13.8</v>
      </c>
      <c r="AS192">
        <v>12.5</v>
      </c>
      <c r="AT192">
        <v>11.8</v>
      </c>
      <c r="AU192">
        <v>10.4</v>
      </c>
      <c r="AV192">
        <v>9.1999999999999993</v>
      </c>
      <c r="AW192">
        <v>8.3000000000000007</v>
      </c>
      <c r="AX192">
        <v>7.8</v>
      </c>
      <c r="AY192">
        <v>8.3000000000000007</v>
      </c>
      <c r="AZ192">
        <v>9.1</v>
      </c>
      <c r="BA192">
        <v>6.7</v>
      </c>
      <c r="BB192">
        <v>6.3</v>
      </c>
      <c r="BC192">
        <v>6.4</v>
      </c>
      <c r="BD192">
        <v>5.9</v>
      </c>
      <c r="BE192">
        <v>6.2</v>
      </c>
    </row>
    <row r="193" spans="1:57" x14ac:dyDescent="0.25">
      <c r="A193" s="30" t="s">
        <v>1526</v>
      </c>
      <c r="B193">
        <v>-830.2</v>
      </c>
      <c r="C193">
        <v>-840.3</v>
      </c>
      <c r="D193">
        <v>-819.7</v>
      </c>
      <c r="E193">
        <v>-799.3</v>
      </c>
      <c r="F193">
        <v>-836.1</v>
      </c>
      <c r="G193">
        <v>-793.1</v>
      </c>
      <c r="H193">
        <v>-813.1</v>
      </c>
      <c r="I193">
        <v>-790.7</v>
      </c>
      <c r="J193">
        <v>-777.6</v>
      </c>
      <c r="K193">
        <v>-775.5</v>
      </c>
      <c r="L193">
        <v>-773.2</v>
      </c>
      <c r="M193">
        <v>-735.8</v>
      </c>
      <c r="N193">
        <v>-731.7</v>
      </c>
      <c r="O193">
        <v>-731.7</v>
      </c>
      <c r="P193">
        <v>-724.5</v>
      </c>
      <c r="Q193">
        <v>-754</v>
      </c>
      <c r="R193">
        <v>-763.2</v>
      </c>
      <c r="S193">
        <v>-726.5</v>
      </c>
      <c r="T193">
        <v>-704.8</v>
      </c>
      <c r="U193">
        <v>-710.3</v>
      </c>
      <c r="V193">
        <v>-729.7</v>
      </c>
      <c r="W193">
        <v>-769.1</v>
      </c>
      <c r="X193">
        <v>-779.8</v>
      </c>
      <c r="Y193">
        <v>-782.2</v>
      </c>
      <c r="Z193">
        <v>-781.1</v>
      </c>
      <c r="AA193">
        <v>-778.7</v>
      </c>
      <c r="AD193" t="s">
        <v>284</v>
      </c>
      <c r="AE193">
        <v>23.1</v>
      </c>
      <c r="AF193">
        <v>22.1</v>
      </c>
      <c r="AG193">
        <v>22.1</v>
      </c>
      <c r="AH193">
        <v>21.4</v>
      </c>
      <c r="AI193">
        <v>20.2</v>
      </c>
      <c r="AJ193">
        <v>18.600000000000001</v>
      </c>
      <c r="AK193">
        <v>17</v>
      </c>
      <c r="AL193">
        <v>15.6</v>
      </c>
      <c r="AM193">
        <v>13.3</v>
      </c>
      <c r="AN193">
        <v>13.6</v>
      </c>
      <c r="AO193">
        <v>12.7</v>
      </c>
      <c r="AP193">
        <v>12</v>
      </c>
      <c r="AQ193">
        <v>11</v>
      </c>
      <c r="AR193">
        <v>9.9</v>
      </c>
      <c r="AS193">
        <v>9.1</v>
      </c>
      <c r="AT193">
        <v>8.3000000000000007</v>
      </c>
      <c r="AU193">
        <v>7</v>
      </c>
      <c r="AV193">
        <v>6.2</v>
      </c>
      <c r="AW193">
        <v>6.1</v>
      </c>
      <c r="AX193">
        <v>5.9</v>
      </c>
      <c r="AY193">
        <v>5.9</v>
      </c>
      <c r="AZ193">
        <v>6</v>
      </c>
      <c r="BA193">
        <v>4.7</v>
      </c>
      <c r="BB193">
        <v>4.5</v>
      </c>
      <c r="BC193">
        <v>4.7</v>
      </c>
      <c r="BD193">
        <v>4.3</v>
      </c>
      <c r="BE193">
        <v>4.3</v>
      </c>
    </row>
    <row r="194" spans="1:57" x14ac:dyDescent="0.25">
      <c r="A194" s="19" t="s">
        <v>1527</v>
      </c>
      <c r="B194">
        <v>-819.6</v>
      </c>
      <c r="C194">
        <v>-828.8</v>
      </c>
      <c r="D194">
        <v>-811.3</v>
      </c>
      <c r="E194">
        <v>-791.9</v>
      </c>
      <c r="F194">
        <v>-820</v>
      </c>
      <c r="G194">
        <v>-785.7</v>
      </c>
      <c r="H194">
        <v>-799.9</v>
      </c>
      <c r="I194">
        <v>-783.6</v>
      </c>
      <c r="J194">
        <v>-767.9</v>
      </c>
      <c r="K194">
        <v>-760.5</v>
      </c>
      <c r="L194">
        <v>-752.4</v>
      </c>
      <c r="M194">
        <v>-721.6</v>
      </c>
      <c r="N194">
        <v>-705.4</v>
      </c>
      <c r="O194">
        <v>-713.5</v>
      </c>
      <c r="P194">
        <v>-698.7</v>
      </c>
      <c r="Q194">
        <v>-731</v>
      </c>
      <c r="R194">
        <v>-741.2</v>
      </c>
      <c r="S194">
        <v>-698.5</v>
      </c>
      <c r="T194">
        <v>-685</v>
      </c>
      <c r="U194">
        <v>-691.5</v>
      </c>
      <c r="V194">
        <v>-717.2</v>
      </c>
      <c r="W194">
        <v>-749.2</v>
      </c>
      <c r="X194">
        <v>-753.8</v>
      </c>
      <c r="Y194">
        <v>-763</v>
      </c>
      <c r="Z194">
        <v>-761.4</v>
      </c>
      <c r="AA194">
        <v>-758.9</v>
      </c>
      <c r="AD194" t="s">
        <v>280</v>
      </c>
      <c r="AE194">
        <v>5.2</v>
      </c>
      <c r="AF194">
        <v>4.9000000000000004</v>
      </c>
      <c r="AG194">
        <v>5.2</v>
      </c>
      <c r="AH194">
        <v>5.3</v>
      </c>
      <c r="AI194">
        <v>5.2</v>
      </c>
      <c r="AJ194">
        <v>5.4</v>
      </c>
      <c r="AK194">
        <v>6.3</v>
      </c>
      <c r="AL194">
        <v>6</v>
      </c>
      <c r="AM194">
        <v>5.4</v>
      </c>
      <c r="AN194">
        <v>4.8</v>
      </c>
      <c r="AO194">
        <v>2.9</v>
      </c>
      <c r="AP194">
        <v>2.7</v>
      </c>
      <c r="AQ194">
        <v>2.8</v>
      </c>
      <c r="AR194">
        <v>3.3</v>
      </c>
      <c r="AS194">
        <v>2.7</v>
      </c>
      <c r="AT194">
        <v>2.7</v>
      </c>
      <c r="AU194">
        <v>2.8</v>
      </c>
      <c r="AV194">
        <v>2.5</v>
      </c>
      <c r="AW194">
        <v>1.8</v>
      </c>
      <c r="AX194">
        <v>1.6</v>
      </c>
      <c r="AY194">
        <v>2.1</v>
      </c>
      <c r="AZ194">
        <v>2.8</v>
      </c>
      <c r="BA194">
        <v>1.6</v>
      </c>
      <c r="BB194">
        <v>1.5</v>
      </c>
      <c r="BC194">
        <v>1</v>
      </c>
      <c r="BD194">
        <v>0.9</v>
      </c>
      <c r="BE194">
        <v>1</v>
      </c>
    </row>
    <row r="195" spans="1:57" x14ac:dyDescent="0.25">
      <c r="A195" s="22" t="s">
        <v>1528</v>
      </c>
      <c r="B195">
        <v>5543.5</v>
      </c>
      <c r="C195">
        <v>5479.4</v>
      </c>
      <c r="D195">
        <v>5608.7</v>
      </c>
      <c r="E195">
        <v>5738.7</v>
      </c>
      <c r="F195">
        <v>5801.6</v>
      </c>
      <c r="G195">
        <v>5923.3</v>
      </c>
      <c r="H195">
        <v>6103.2</v>
      </c>
      <c r="I195">
        <v>6178.4</v>
      </c>
      <c r="J195">
        <v>6249.6</v>
      </c>
      <c r="K195">
        <v>6296.3</v>
      </c>
      <c r="L195">
        <v>6461.5</v>
      </c>
      <c r="M195">
        <v>6373.6</v>
      </c>
      <c r="N195">
        <v>6425.6</v>
      </c>
      <c r="O195">
        <v>6458</v>
      </c>
      <c r="P195">
        <v>6606</v>
      </c>
      <c r="Q195">
        <v>6582.3</v>
      </c>
      <c r="R195">
        <v>6505.2</v>
      </c>
      <c r="S195">
        <v>6650.6</v>
      </c>
      <c r="T195">
        <v>6460.4</v>
      </c>
      <c r="U195">
        <v>6008.6</v>
      </c>
      <c r="V195">
        <v>6208.3</v>
      </c>
      <c r="W195">
        <v>6027.6</v>
      </c>
      <c r="X195">
        <v>5784.5</v>
      </c>
      <c r="Y195">
        <v>5917.1</v>
      </c>
      <c r="Z195">
        <v>5978.3</v>
      </c>
      <c r="AA195">
        <v>5827.7</v>
      </c>
      <c r="AD195" t="s">
        <v>1934</v>
      </c>
      <c r="AE195">
        <v>0.5</v>
      </c>
      <c r="AF195">
        <v>0.5</v>
      </c>
      <c r="AG195">
        <v>0.5</v>
      </c>
      <c r="AH195">
        <v>0.6</v>
      </c>
      <c r="AI195">
        <v>0.7</v>
      </c>
      <c r="AJ195">
        <v>0.9</v>
      </c>
      <c r="AK195">
        <v>1</v>
      </c>
      <c r="AL195">
        <v>1</v>
      </c>
      <c r="AM195">
        <v>1.2</v>
      </c>
      <c r="AN195">
        <v>1.3</v>
      </c>
      <c r="AO195">
        <v>1</v>
      </c>
      <c r="AP195">
        <v>0.7</v>
      </c>
      <c r="AQ195">
        <v>0.6</v>
      </c>
      <c r="AR195">
        <v>0.7</v>
      </c>
      <c r="AS195">
        <v>0.6</v>
      </c>
      <c r="AT195">
        <v>0.7</v>
      </c>
      <c r="AU195">
        <v>0.6</v>
      </c>
      <c r="AV195">
        <v>0.5</v>
      </c>
      <c r="AW195">
        <v>0.4</v>
      </c>
      <c r="AX195">
        <v>0.3</v>
      </c>
      <c r="AY195">
        <v>0.4</v>
      </c>
      <c r="AZ195">
        <v>0.4</v>
      </c>
      <c r="BA195">
        <v>0.3</v>
      </c>
      <c r="BB195">
        <v>0.4</v>
      </c>
      <c r="BC195">
        <v>0.7</v>
      </c>
      <c r="BD195">
        <v>0.7</v>
      </c>
      <c r="BE195">
        <v>0.8</v>
      </c>
    </row>
    <row r="196" spans="1:57" ht="49.5" customHeight="1" x14ac:dyDescent="0.25">
      <c r="A196" s="367" t="s">
        <v>1529</v>
      </c>
      <c r="B196" s="367"/>
      <c r="C196" s="367"/>
      <c r="D196" s="367"/>
      <c r="E196" s="367"/>
      <c r="F196" s="367"/>
      <c r="G196" s="367"/>
      <c r="H196" s="367"/>
      <c r="I196" s="367"/>
      <c r="J196" s="367"/>
      <c r="AD196" t="s">
        <v>1533</v>
      </c>
      <c r="AE196" t="s">
        <v>1539</v>
      </c>
      <c r="AF196" t="s">
        <v>1539</v>
      </c>
      <c r="AG196" t="s">
        <v>1539</v>
      </c>
      <c r="AH196">
        <v>0.1</v>
      </c>
      <c r="AI196">
        <v>0.1</v>
      </c>
      <c r="AJ196">
        <v>0.1</v>
      </c>
      <c r="AK196">
        <v>0.1</v>
      </c>
      <c r="AL196">
        <v>0.1</v>
      </c>
      <c r="AM196">
        <v>0.1</v>
      </c>
      <c r="AN196">
        <v>0.1</v>
      </c>
      <c r="AO196">
        <v>0.2</v>
      </c>
      <c r="AP196">
        <v>0.2</v>
      </c>
      <c r="AQ196">
        <v>0.5</v>
      </c>
      <c r="AR196">
        <v>0.5</v>
      </c>
      <c r="AS196">
        <v>0.5</v>
      </c>
      <c r="AT196">
        <v>0.5</v>
      </c>
      <c r="AU196">
        <v>0.7</v>
      </c>
      <c r="AV196">
        <v>0.5</v>
      </c>
      <c r="AW196">
        <v>0.5</v>
      </c>
      <c r="AX196">
        <v>0.4</v>
      </c>
      <c r="AY196">
        <v>0.5</v>
      </c>
      <c r="AZ196">
        <v>0.6</v>
      </c>
      <c r="BA196">
        <v>0.6</v>
      </c>
      <c r="BB196">
        <v>0.6</v>
      </c>
      <c r="BC196">
        <v>0.5</v>
      </c>
      <c r="BD196">
        <v>0.6</v>
      </c>
      <c r="BE196">
        <v>0.6</v>
      </c>
    </row>
    <row r="197" spans="1:57" x14ac:dyDescent="0.25">
      <c r="AD197" t="s">
        <v>1934</v>
      </c>
      <c r="AE197" t="s">
        <v>1539</v>
      </c>
      <c r="AF197" t="s">
        <v>1539</v>
      </c>
      <c r="AG197" t="s">
        <v>1539</v>
      </c>
      <c r="AH197">
        <v>0.1</v>
      </c>
      <c r="AI197">
        <v>0.1</v>
      </c>
      <c r="AJ197">
        <v>0.1</v>
      </c>
      <c r="AK197">
        <v>0.1</v>
      </c>
      <c r="AL197">
        <v>0.1</v>
      </c>
      <c r="AM197">
        <v>0.1</v>
      </c>
      <c r="AN197">
        <v>0.1</v>
      </c>
      <c r="AO197">
        <v>0.2</v>
      </c>
      <c r="AP197">
        <v>0.2</v>
      </c>
      <c r="AQ197">
        <v>0.5</v>
      </c>
      <c r="AR197">
        <v>0.5</v>
      </c>
      <c r="AS197">
        <v>0.5</v>
      </c>
      <c r="AT197">
        <v>0.5</v>
      </c>
      <c r="AU197">
        <v>0.7</v>
      </c>
      <c r="AV197">
        <v>0.5</v>
      </c>
      <c r="AW197">
        <v>0.5</v>
      </c>
      <c r="AX197">
        <v>0.4</v>
      </c>
      <c r="AY197">
        <v>0.5</v>
      </c>
      <c r="AZ197">
        <v>0.6</v>
      </c>
      <c r="BA197">
        <v>0.6</v>
      </c>
      <c r="BB197">
        <v>0.6</v>
      </c>
      <c r="BC197">
        <v>0.5</v>
      </c>
      <c r="BD197">
        <v>0.6</v>
      </c>
      <c r="BE197">
        <v>0.6</v>
      </c>
    </row>
    <row r="198" spans="1:57" x14ac:dyDescent="0.25">
      <c r="AD198" t="s">
        <v>758</v>
      </c>
      <c r="AE198">
        <v>6355.6</v>
      </c>
      <c r="AF198">
        <v>6299.8</v>
      </c>
      <c r="AG198">
        <v>6409.9</v>
      </c>
      <c r="AH198">
        <v>6519</v>
      </c>
      <c r="AI198">
        <v>6610.7</v>
      </c>
      <c r="AJ198">
        <v>6695.6</v>
      </c>
      <c r="AK198">
        <v>6891.5</v>
      </c>
      <c r="AL198">
        <v>6952.1</v>
      </c>
      <c r="AM198">
        <v>7015.9</v>
      </c>
      <c r="AN198">
        <v>7056.7</v>
      </c>
      <c r="AO198">
        <v>7216.6</v>
      </c>
      <c r="AP198">
        <v>7100.8</v>
      </c>
      <c r="AQ198">
        <v>7139.4</v>
      </c>
      <c r="AR198">
        <v>7180.5</v>
      </c>
      <c r="AS198">
        <v>7313.8</v>
      </c>
      <c r="AT198">
        <v>7320.3</v>
      </c>
      <c r="AU198">
        <v>7251.8</v>
      </c>
      <c r="AV198">
        <v>7351.5</v>
      </c>
      <c r="AW198">
        <v>7145.1</v>
      </c>
      <c r="AX198">
        <v>6698.1</v>
      </c>
      <c r="AY198">
        <v>6922.9</v>
      </c>
      <c r="AZ198">
        <v>6771.1</v>
      </c>
      <c r="BA198">
        <v>6528.8</v>
      </c>
      <c r="BB198">
        <v>6709.1</v>
      </c>
      <c r="BC198">
        <v>6763.1</v>
      </c>
      <c r="BD198">
        <v>6638.1</v>
      </c>
      <c r="BE198">
        <v>6511.3</v>
      </c>
    </row>
    <row r="199" spans="1:57" x14ac:dyDescent="0.25">
      <c r="AD199" t="s">
        <v>1939</v>
      </c>
      <c r="AE199">
        <v>10.6</v>
      </c>
      <c r="AF199">
        <v>11.5</v>
      </c>
      <c r="AG199">
        <v>8.4</v>
      </c>
      <c r="AH199">
        <v>7.5</v>
      </c>
      <c r="AI199">
        <v>16.2</v>
      </c>
      <c r="AJ199">
        <v>7.4</v>
      </c>
      <c r="AK199">
        <v>13.2</v>
      </c>
      <c r="AL199">
        <v>7.1</v>
      </c>
      <c r="AM199">
        <v>9.6999999999999993</v>
      </c>
      <c r="AN199">
        <v>15</v>
      </c>
      <c r="AO199">
        <v>20.8</v>
      </c>
      <c r="AP199">
        <v>14.2</v>
      </c>
      <c r="AQ199">
        <v>26.5</v>
      </c>
      <c r="AR199">
        <v>18.2</v>
      </c>
      <c r="AS199">
        <v>25.9</v>
      </c>
      <c r="AT199">
        <v>23</v>
      </c>
      <c r="AU199">
        <v>21.9</v>
      </c>
      <c r="AV199">
        <v>27.8</v>
      </c>
      <c r="AW199">
        <v>20</v>
      </c>
      <c r="AX199">
        <v>18.7</v>
      </c>
      <c r="AY199">
        <v>12.5</v>
      </c>
      <c r="AZ199">
        <v>19.899999999999999</v>
      </c>
      <c r="BA199">
        <v>26.1</v>
      </c>
      <c r="BB199">
        <v>19.2</v>
      </c>
      <c r="BC199">
        <v>19.600000000000001</v>
      </c>
      <c r="BD199">
        <v>38.200000000000003</v>
      </c>
      <c r="BE199">
        <v>38.1</v>
      </c>
    </row>
    <row r="200" spans="1:57" x14ac:dyDescent="0.25">
      <c r="AD200" t="s">
        <v>1940</v>
      </c>
      <c r="AE200">
        <v>6.7</v>
      </c>
      <c r="AF200">
        <v>7.2</v>
      </c>
      <c r="AG200">
        <v>5.3</v>
      </c>
      <c r="AH200">
        <v>4.5</v>
      </c>
      <c r="AI200">
        <v>9.6</v>
      </c>
      <c r="AJ200">
        <v>4.4000000000000004</v>
      </c>
      <c r="AK200">
        <v>7.7</v>
      </c>
      <c r="AL200">
        <v>4.0999999999999996</v>
      </c>
      <c r="AM200">
        <v>5.8</v>
      </c>
      <c r="AN200">
        <v>8.8000000000000007</v>
      </c>
      <c r="AO200">
        <v>12.1</v>
      </c>
      <c r="AP200">
        <v>8</v>
      </c>
      <c r="AQ200">
        <v>15.3</v>
      </c>
      <c r="AR200">
        <v>10.3</v>
      </c>
      <c r="AS200">
        <v>15</v>
      </c>
      <c r="AT200">
        <v>13.3</v>
      </c>
      <c r="AU200">
        <v>12.4</v>
      </c>
      <c r="AV200">
        <v>16</v>
      </c>
      <c r="AW200">
        <v>11.5</v>
      </c>
      <c r="AX200">
        <v>10.7</v>
      </c>
      <c r="AY200">
        <v>6.9</v>
      </c>
      <c r="AZ200">
        <v>11.2</v>
      </c>
      <c r="BA200">
        <v>15</v>
      </c>
      <c r="BB200">
        <v>10.9</v>
      </c>
      <c r="BC200">
        <v>11.2</v>
      </c>
      <c r="BD200">
        <v>22.4</v>
      </c>
      <c r="BE200">
        <v>22.4</v>
      </c>
    </row>
    <row r="201" spans="1:57" x14ac:dyDescent="0.25">
      <c r="AB201" s="2"/>
      <c r="AD201" t="s">
        <v>1941</v>
      </c>
      <c r="AE201">
        <v>3.9</v>
      </c>
      <c r="AF201">
        <v>4.3</v>
      </c>
      <c r="AG201">
        <v>3.2</v>
      </c>
      <c r="AH201">
        <v>2.9</v>
      </c>
      <c r="AI201">
        <v>6.5</v>
      </c>
      <c r="AJ201">
        <v>3</v>
      </c>
      <c r="AK201">
        <v>5.5</v>
      </c>
      <c r="AL201">
        <v>3</v>
      </c>
      <c r="AM201">
        <v>3.9</v>
      </c>
      <c r="AN201">
        <v>6.3</v>
      </c>
      <c r="AO201">
        <v>8.6999999999999993</v>
      </c>
      <c r="AP201">
        <v>6.2</v>
      </c>
      <c r="AQ201">
        <v>11.2</v>
      </c>
      <c r="AR201">
        <v>7.9</v>
      </c>
      <c r="AS201">
        <v>10.9</v>
      </c>
      <c r="AT201">
        <v>9.6999999999999993</v>
      </c>
      <c r="AU201">
        <v>9.5</v>
      </c>
      <c r="AV201">
        <v>11.8</v>
      </c>
      <c r="AW201">
        <v>8.6</v>
      </c>
      <c r="AX201">
        <v>8</v>
      </c>
      <c r="AY201">
        <v>5.6</v>
      </c>
      <c r="AZ201">
        <v>8.6999999999999993</v>
      </c>
      <c r="BA201">
        <v>11.1</v>
      </c>
      <c r="BB201">
        <v>8.3000000000000007</v>
      </c>
      <c r="BC201">
        <v>8.4</v>
      </c>
      <c r="BD201">
        <v>15.8</v>
      </c>
      <c r="BE201">
        <v>15.7</v>
      </c>
    </row>
    <row r="202" spans="1:57" x14ac:dyDescent="0.25">
      <c r="AB202" s="2"/>
      <c r="AD202" t="s">
        <v>1942</v>
      </c>
      <c r="AE202">
        <v>-830.2</v>
      </c>
      <c r="AF202">
        <v>-840.4</v>
      </c>
      <c r="AG202">
        <v>-819.7</v>
      </c>
      <c r="AH202">
        <v>-799.4</v>
      </c>
      <c r="AI202">
        <v>-836.3</v>
      </c>
      <c r="AJ202">
        <v>-793.3</v>
      </c>
      <c r="AK202">
        <v>-813.2</v>
      </c>
      <c r="AL202">
        <v>-790.9</v>
      </c>
      <c r="AM202">
        <v>-777.9</v>
      </c>
      <c r="AN202">
        <v>-775.9</v>
      </c>
      <c r="AO202">
        <v>-773.6</v>
      </c>
      <c r="AP202">
        <v>-736.1</v>
      </c>
      <c r="AQ202">
        <v>-732</v>
      </c>
      <c r="AR202">
        <v>-731.9</v>
      </c>
      <c r="AS202">
        <v>-724.6</v>
      </c>
      <c r="AT202">
        <v>-754.2</v>
      </c>
      <c r="AU202">
        <v>-763</v>
      </c>
      <c r="AV202">
        <v>-726.3</v>
      </c>
      <c r="AW202">
        <v>-704.6</v>
      </c>
      <c r="AX202">
        <v>-710</v>
      </c>
      <c r="AY202">
        <v>-729.4</v>
      </c>
      <c r="AZ202">
        <v>-768.8</v>
      </c>
      <c r="BA202">
        <v>-779.5</v>
      </c>
      <c r="BB202">
        <v>-755</v>
      </c>
      <c r="BC202">
        <v>-760</v>
      </c>
      <c r="BD202">
        <v>-733.4</v>
      </c>
      <c r="BE202">
        <v>-754.9</v>
      </c>
    </row>
    <row r="203" spans="1:57" x14ac:dyDescent="0.25">
      <c r="AD203" t="s">
        <v>1943</v>
      </c>
      <c r="AE203">
        <v>-819.6</v>
      </c>
      <c r="AF203">
        <v>-828.9</v>
      </c>
      <c r="AG203">
        <v>-811.3</v>
      </c>
      <c r="AH203">
        <v>-792</v>
      </c>
      <c r="AI203">
        <v>-820.1</v>
      </c>
      <c r="AJ203">
        <v>-785.9</v>
      </c>
      <c r="AK203">
        <v>-800</v>
      </c>
      <c r="AL203">
        <v>-783.9</v>
      </c>
      <c r="AM203">
        <v>-768.2</v>
      </c>
      <c r="AN203">
        <v>-760.9</v>
      </c>
      <c r="AO203">
        <v>-752.8</v>
      </c>
      <c r="AP203">
        <v>-721.9</v>
      </c>
      <c r="AQ203">
        <v>-705.5</v>
      </c>
      <c r="AR203">
        <v>-713.7</v>
      </c>
      <c r="AS203">
        <v>-698.7</v>
      </c>
      <c r="AT203">
        <v>-731.1</v>
      </c>
      <c r="AU203">
        <v>-741.1</v>
      </c>
      <c r="AV203">
        <v>-698.4</v>
      </c>
      <c r="AW203">
        <v>-684.6</v>
      </c>
      <c r="AX203">
        <v>-691.3</v>
      </c>
      <c r="AY203">
        <v>-716.9</v>
      </c>
      <c r="AZ203">
        <v>-748.9</v>
      </c>
      <c r="BA203">
        <v>-753.5</v>
      </c>
      <c r="BB203">
        <v>-735.8</v>
      </c>
      <c r="BC203">
        <v>-740.4</v>
      </c>
      <c r="BD203">
        <v>-695.2</v>
      </c>
      <c r="BE203">
        <v>-716.8</v>
      </c>
    </row>
    <row r="204" spans="1:57" x14ac:dyDescent="0.25">
      <c r="AA204" s="62"/>
      <c r="AD204" t="s">
        <v>1944</v>
      </c>
      <c r="AE204">
        <v>5536</v>
      </c>
      <c r="AF204">
        <v>5470.9</v>
      </c>
      <c r="AG204">
        <v>5598.6</v>
      </c>
      <c r="AH204">
        <v>5727</v>
      </c>
      <c r="AI204">
        <v>5790.6</v>
      </c>
      <c r="AJ204">
        <v>5909.7</v>
      </c>
      <c r="AK204">
        <v>6091.5</v>
      </c>
      <c r="AL204">
        <v>6168.2</v>
      </c>
      <c r="AM204">
        <v>6247.7</v>
      </c>
      <c r="AN204">
        <v>6295.8</v>
      </c>
      <c r="AO204">
        <v>6463.9</v>
      </c>
      <c r="AP204">
        <v>6378.9</v>
      </c>
      <c r="AQ204">
        <v>6433.9</v>
      </c>
      <c r="AR204">
        <v>6466.8</v>
      </c>
      <c r="AS204">
        <v>6615.1</v>
      </c>
      <c r="AT204">
        <v>6589.1</v>
      </c>
      <c r="AU204">
        <v>6510.7</v>
      </c>
      <c r="AV204">
        <v>6653</v>
      </c>
      <c r="AW204">
        <v>6460.5</v>
      </c>
      <c r="AX204">
        <v>6006.7</v>
      </c>
      <c r="AY204">
        <v>6206</v>
      </c>
      <c r="AZ204">
        <v>6022.2</v>
      </c>
      <c r="BA204">
        <v>5775.3</v>
      </c>
      <c r="BB204">
        <v>5973.3</v>
      </c>
      <c r="BC204">
        <v>6022.8</v>
      </c>
      <c r="BD204">
        <v>5942.9</v>
      </c>
      <c r="BE204">
        <v>5794.5</v>
      </c>
    </row>
  </sheetData>
  <mergeCells count="1">
    <mergeCell ref="A196:J19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V536"/>
  <sheetViews>
    <sheetView topLeftCell="A70" workbookViewId="0">
      <selection activeCell="A37" activeCellId="4" sqref="A3 A8 A18 A26 A37"/>
    </sheetView>
  </sheetViews>
  <sheetFormatPr defaultRowHeight="15" x14ac:dyDescent="0.25"/>
  <cols>
    <col min="1" max="1" width="35.140625" customWidth="1"/>
    <col min="2" max="2" width="11.42578125" customWidth="1"/>
    <col min="3" max="38" width="11.5703125" customWidth="1"/>
    <col min="39" max="48" width="11.5703125" bestFit="1" customWidth="1"/>
  </cols>
  <sheetData>
    <row r="1" spans="1:48" x14ac:dyDescent="0.25">
      <c r="A1" s="54" t="s">
        <v>1458</v>
      </c>
      <c r="B1" s="54" t="s">
        <v>1459</v>
      </c>
      <c r="C1" s="54" t="s">
        <v>877</v>
      </c>
      <c r="D1">
        <v>2006</v>
      </c>
      <c r="E1">
        <v>2007</v>
      </c>
      <c r="F1">
        <v>2008</v>
      </c>
      <c r="G1">
        <v>2009</v>
      </c>
      <c r="H1">
        <v>2010</v>
      </c>
      <c r="I1">
        <v>2011</v>
      </c>
      <c r="J1">
        <v>2012</v>
      </c>
      <c r="K1">
        <v>2013</v>
      </c>
      <c r="L1">
        <v>2014</v>
      </c>
      <c r="M1">
        <v>2015</v>
      </c>
      <c r="N1" s="61">
        <v>2016</v>
      </c>
      <c r="O1" s="67">
        <v>2017</v>
      </c>
      <c r="P1" s="67">
        <v>2018</v>
      </c>
      <c r="Q1" s="67">
        <v>2019</v>
      </c>
      <c r="R1" s="67">
        <v>2020</v>
      </c>
      <c r="S1" s="67">
        <v>2021</v>
      </c>
      <c r="T1" s="67">
        <v>2022</v>
      </c>
      <c r="U1" s="67">
        <v>2023</v>
      </c>
      <c r="V1" s="67">
        <v>2024</v>
      </c>
      <c r="W1" s="67">
        <v>2025</v>
      </c>
      <c r="X1" s="67">
        <v>2026</v>
      </c>
      <c r="Y1" s="67">
        <v>2027</v>
      </c>
      <c r="Z1" s="67">
        <v>2028</v>
      </c>
      <c r="AA1" s="67">
        <v>2029</v>
      </c>
      <c r="AB1" s="67">
        <v>2030</v>
      </c>
      <c r="AC1" s="67">
        <v>2031</v>
      </c>
      <c r="AD1" s="67">
        <v>2032</v>
      </c>
      <c r="AE1" s="67">
        <v>2033</v>
      </c>
      <c r="AF1" s="67">
        <v>2034</v>
      </c>
      <c r="AG1" s="67">
        <v>2035</v>
      </c>
      <c r="AH1" s="67">
        <v>2036</v>
      </c>
      <c r="AI1" s="67">
        <v>2037</v>
      </c>
      <c r="AJ1" s="67">
        <v>2038</v>
      </c>
      <c r="AK1" s="67">
        <v>2039</v>
      </c>
      <c r="AL1" s="67">
        <v>2040</v>
      </c>
      <c r="AM1" s="67">
        <v>2041</v>
      </c>
      <c r="AN1" s="67">
        <v>2042</v>
      </c>
      <c r="AO1" s="67">
        <v>2043</v>
      </c>
      <c r="AP1" s="67">
        <v>2044</v>
      </c>
      <c r="AQ1" s="67">
        <v>2045</v>
      </c>
      <c r="AR1" s="67">
        <v>2046</v>
      </c>
      <c r="AS1" s="67">
        <v>2047</v>
      </c>
      <c r="AT1" s="67">
        <v>2048</v>
      </c>
      <c r="AU1" s="67">
        <v>2049</v>
      </c>
      <c r="AV1" s="67">
        <v>2050</v>
      </c>
    </row>
    <row r="2" spans="1:48" x14ac:dyDescent="0.25">
      <c r="A2" s="350" t="s">
        <v>1439</v>
      </c>
      <c r="B2" t="s">
        <v>1460</v>
      </c>
      <c r="C2" t="s">
        <v>865</v>
      </c>
      <c r="D2">
        <f t="shared" ref="D2:N11" si="0">IFERROR(INDEX($B$178:$AB$210,MATCH($A2,$A$178:$A$210,0),MATCH(D$1,$B$176:$AB$176,0)),0)</f>
        <v>0</v>
      </c>
      <c r="E2">
        <f t="shared" si="0"/>
        <v>0</v>
      </c>
      <c r="F2">
        <f t="shared" si="0"/>
        <v>0</v>
      </c>
      <c r="G2">
        <f t="shared" si="0"/>
        <v>0</v>
      </c>
      <c r="H2">
        <f t="shared" si="0"/>
        <v>0</v>
      </c>
      <c r="I2">
        <f t="shared" si="0"/>
        <v>0</v>
      </c>
      <c r="J2">
        <f t="shared" si="0"/>
        <v>0</v>
      </c>
      <c r="K2">
        <f t="shared" si="0"/>
        <v>0</v>
      </c>
      <c r="L2">
        <f t="shared" si="0"/>
        <v>0</v>
      </c>
      <c r="M2">
        <f t="shared" si="0"/>
        <v>0</v>
      </c>
      <c r="N2">
        <f t="shared" si="0"/>
        <v>0</v>
      </c>
      <c r="O2" s="363">
        <f>IFERROR(IF($N2-$D2&gt;=0,($N2-$D2)/COUNT($E$1:$N$1)+N2,$F356*$E356^O$1),0)</f>
        <v>0</v>
      </c>
      <c r="P2" s="363">
        <f t="shared" ref="P2:AV10" si="1">IFERROR(IF($N2-$D2&gt;=0,($N2-$D2)/COUNT($E$1:$N$1)+O2,$F356*$E356^P$1),0)</f>
        <v>0</v>
      </c>
      <c r="Q2" s="363">
        <f t="shared" si="1"/>
        <v>0</v>
      </c>
      <c r="R2" s="363">
        <f t="shared" si="1"/>
        <v>0</v>
      </c>
      <c r="S2" s="363">
        <f t="shared" si="1"/>
        <v>0</v>
      </c>
      <c r="T2" s="363">
        <f t="shared" si="1"/>
        <v>0</v>
      </c>
      <c r="U2" s="363">
        <f t="shared" si="1"/>
        <v>0</v>
      </c>
      <c r="V2" s="363">
        <f t="shared" si="1"/>
        <v>0</v>
      </c>
      <c r="W2" s="363">
        <f t="shared" si="1"/>
        <v>0</v>
      </c>
      <c r="X2" s="363">
        <f t="shared" si="1"/>
        <v>0</v>
      </c>
      <c r="Y2" s="363">
        <f t="shared" si="1"/>
        <v>0</v>
      </c>
      <c r="Z2" s="363">
        <f t="shared" si="1"/>
        <v>0</v>
      </c>
      <c r="AA2" s="363">
        <f t="shared" si="1"/>
        <v>0</v>
      </c>
      <c r="AB2" s="363">
        <f t="shared" si="1"/>
        <v>0</v>
      </c>
      <c r="AC2" s="363">
        <f t="shared" si="1"/>
        <v>0</v>
      </c>
      <c r="AD2" s="363">
        <f t="shared" si="1"/>
        <v>0</v>
      </c>
      <c r="AE2" s="363">
        <f t="shared" si="1"/>
        <v>0</v>
      </c>
      <c r="AF2" s="363">
        <f t="shared" si="1"/>
        <v>0</v>
      </c>
      <c r="AG2" s="363">
        <f t="shared" si="1"/>
        <v>0</v>
      </c>
      <c r="AH2" s="363">
        <f t="shared" si="1"/>
        <v>0</v>
      </c>
      <c r="AI2" s="363">
        <f t="shared" si="1"/>
        <v>0</v>
      </c>
      <c r="AJ2" s="363">
        <f t="shared" si="1"/>
        <v>0</v>
      </c>
      <c r="AK2" s="363">
        <f t="shared" si="1"/>
        <v>0</v>
      </c>
      <c r="AL2" s="363">
        <f t="shared" si="1"/>
        <v>0</v>
      </c>
      <c r="AM2" s="363">
        <f t="shared" si="1"/>
        <v>0</v>
      </c>
      <c r="AN2" s="363">
        <f t="shared" si="1"/>
        <v>0</v>
      </c>
      <c r="AO2" s="363">
        <f t="shared" si="1"/>
        <v>0</v>
      </c>
      <c r="AP2" s="363">
        <f t="shared" si="1"/>
        <v>0</v>
      </c>
      <c r="AQ2" s="363">
        <f t="shared" si="1"/>
        <v>0</v>
      </c>
      <c r="AR2" s="363">
        <f t="shared" si="1"/>
        <v>0</v>
      </c>
      <c r="AS2" s="363">
        <f t="shared" si="1"/>
        <v>0</v>
      </c>
      <c r="AT2" s="363">
        <f t="shared" si="1"/>
        <v>0</v>
      </c>
      <c r="AU2" s="363">
        <f t="shared" si="1"/>
        <v>0</v>
      </c>
      <c r="AV2" s="363">
        <f t="shared" si="1"/>
        <v>0</v>
      </c>
    </row>
    <row r="3" spans="1:48" x14ac:dyDescent="0.25">
      <c r="A3" s="350" t="s">
        <v>1440</v>
      </c>
      <c r="B3" t="s">
        <v>229</v>
      </c>
      <c r="C3" t="s">
        <v>865</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0"/>
        <v>0</v>
      </c>
      <c r="O3" s="363">
        <f t="shared" ref="O3:AD66" si="2">IFERROR(IF($N3-$D3&gt;=0,($N3-$D3)/COUNT($E$1:$N$1)+N3,$F357*$E357^O$1),0)</f>
        <v>0</v>
      </c>
      <c r="P3" s="363">
        <f t="shared" si="2"/>
        <v>0</v>
      </c>
      <c r="Q3" s="363">
        <f t="shared" si="2"/>
        <v>0</v>
      </c>
      <c r="R3" s="363">
        <f t="shared" si="2"/>
        <v>0</v>
      </c>
      <c r="S3" s="363">
        <f t="shared" si="2"/>
        <v>0</v>
      </c>
      <c r="T3" s="363">
        <f t="shared" si="2"/>
        <v>0</v>
      </c>
      <c r="U3" s="363">
        <f t="shared" si="2"/>
        <v>0</v>
      </c>
      <c r="V3" s="363">
        <f t="shared" si="2"/>
        <v>0</v>
      </c>
      <c r="W3" s="363">
        <f t="shared" si="2"/>
        <v>0</v>
      </c>
      <c r="X3" s="363">
        <f t="shared" si="2"/>
        <v>0</v>
      </c>
      <c r="Y3" s="363">
        <f t="shared" si="2"/>
        <v>0</v>
      </c>
      <c r="Z3" s="363">
        <f t="shared" si="2"/>
        <v>0</v>
      </c>
      <c r="AA3" s="363">
        <f t="shared" si="2"/>
        <v>0</v>
      </c>
      <c r="AB3" s="363">
        <f t="shared" si="2"/>
        <v>0</v>
      </c>
      <c r="AC3" s="363">
        <f t="shared" si="2"/>
        <v>0</v>
      </c>
      <c r="AD3" s="363">
        <f t="shared" si="2"/>
        <v>0</v>
      </c>
      <c r="AE3" s="363">
        <f t="shared" si="1"/>
        <v>0</v>
      </c>
      <c r="AF3" s="363">
        <f t="shared" si="1"/>
        <v>0</v>
      </c>
      <c r="AG3" s="363">
        <f t="shared" si="1"/>
        <v>0</v>
      </c>
      <c r="AH3" s="363">
        <f t="shared" si="1"/>
        <v>0</v>
      </c>
      <c r="AI3" s="363">
        <f t="shared" si="1"/>
        <v>0</v>
      </c>
      <c r="AJ3" s="363">
        <f t="shared" si="1"/>
        <v>0</v>
      </c>
      <c r="AK3" s="363">
        <f t="shared" si="1"/>
        <v>0</v>
      </c>
      <c r="AL3" s="363">
        <f t="shared" si="1"/>
        <v>0</v>
      </c>
      <c r="AM3" s="363">
        <f t="shared" si="1"/>
        <v>0</v>
      </c>
      <c r="AN3" s="363">
        <f t="shared" si="1"/>
        <v>0</v>
      </c>
      <c r="AO3" s="363">
        <f t="shared" si="1"/>
        <v>0</v>
      </c>
      <c r="AP3" s="363">
        <f t="shared" si="1"/>
        <v>0</v>
      </c>
      <c r="AQ3" s="363">
        <f t="shared" si="1"/>
        <v>0</v>
      </c>
      <c r="AR3" s="363">
        <f t="shared" si="1"/>
        <v>0</v>
      </c>
      <c r="AS3" s="363">
        <f t="shared" si="1"/>
        <v>0</v>
      </c>
      <c r="AT3" s="363">
        <f t="shared" si="1"/>
        <v>0</v>
      </c>
      <c r="AU3" s="363">
        <f t="shared" si="1"/>
        <v>0</v>
      </c>
      <c r="AV3" s="363">
        <f t="shared" si="1"/>
        <v>0</v>
      </c>
    </row>
    <row r="4" spans="1:48" x14ac:dyDescent="0.25">
      <c r="A4" s="351" t="s">
        <v>1725</v>
      </c>
      <c r="B4" t="s">
        <v>295</v>
      </c>
      <c r="C4" t="s">
        <v>865</v>
      </c>
      <c r="D4">
        <f t="shared" si="0"/>
        <v>207</v>
      </c>
      <c r="E4">
        <f t="shared" si="0"/>
        <v>196</v>
      </c>
      <c r="F4">
        <f t="shared" si="0"/>
        <v>175</v>
      </c>
      <c r="G4">
        <f t="shared" si="0"/>
        <v>145</v>
      </c>
      <c r="H4">
        <f t="shared" si="0"/>
        <v>181</v>
      </c>
      <c r="I4">
        <f t="shared" si="0"/>
        <v>170</v>
      </c>
      <c r="J4">
        <f t="shared" si="0"/>
        <v>158</v>
      </c>
      <c r="K4">
        <f t="shared" si="0"/>
        <v>169</v>
      </c>
      <c r="L4">
        <f t="shared" si="0"/>
        <v>173</v>
      </c>
      <c r="M4">
        <f t="shared" si="0"/>
        <v>180</v>
      </c>
      <c r="N4">
        <f t="shared" si="0"/>
        <v>174</v>
      </c>
      <c r="O4" s="363">
        <f t="shared" si="2"/>
        <v>160.67308647762198</v>
      </c>
      <c r="P4" s="363">
        <f t="shared" si="1"/>
        <v>158.63037533297893</v>
      </c>
      <c r="Q4" s="363">
        <f t="shared" si="1"/>
        <v>156.61363411840898</v>
      </c>
      <c r="R4" s="363">
        <f t="shared" si="1"/>
        <v>154.62253266619854</v>
      </c>
      <c r="S4" s="363">
        <f t="shared" si="1"/>
        <v>152.65674500620881</v>
      </c>
      <c r="T4" s="363">
        <f t="shared" si="1"/>
        <v>150.71594931250968</v>
      </c>
      <c r="U4" s="363">
        <f t="shared" si="1"/>
        <v>148.79982785069288</v>
      </c>
      <c r="V4" s="363">
        <f t="shared" si="1"/>
        <v>146.90806692585429</v>
      </c>
      <c r="W4" s="363">
        <f t="shared" si="1"/>
        <v>145.04035683123803</v>
      </c>
      <c r="X4" s="363">
        <f t="shared" si="1"/>
        <v>143.19639179753315</v>
      </c>
      <c r="Y4" s="363">
        <f t="shared" si="1"/>
        <v>141.37586994281529</v>
      </c>
      <c r="Z4" s="363">
        <f t="shared" si="1"/>
        <v>139.57849322312416</v>
      </c>
      <c r="AA4" s="363">
        <f t="shared" si="1"/>
        <v>137.8039673836702</v>
      </c>
      <c r="AB4" s="363">
        <f t="shared" si="1"/>
        <v>136.05200191066081</v>
      </c>
      <c r="AC4" s="363">
        <f t="shared" si="1"/>
        <v>134.3223099837393</v>
      </c>
      <c r="AD4" s="363">
        <f t="shared" si="1"/>
        <v>132.61460842902872</v>
      </c>
      <c r="AE4" s="363">
        <f t="shared" si="1"/>
        <v>130.92861767277239</v>
      </c>
      <c r="AF4" s="363">
        <f t="shared" si="1"/>
        <v>129.26406169556378</v>
      </c>
      <c r="AG4" s="363">
        <f t="shared" si="1"/>
        <v>127.62066798715871</v>
      </c>
      <c r="AH4" s="363">
        <f t="shared" si="1"/>
        <v>125.99816750186136</v>
      </c>
      <c r="AI4" s="363">
        <f t="shared" si="1"/>
        <v>124.39629461447836</v>
      </c>
      <c r="AJ4" s="363">
        <f t="shared" si="1"/>
        <v>122.81478707683181</v>
      </c>
      <c r="AK4" s="363">
        <f t="shared" si="1"/>
        <v>121.25338597482616</v>
      </c>
      <c r="AL4" s="363">
        <f t="shared" si="1"/>
        <v>119.71183568606028</v>
      </c>
      <c r="AM4" s="363">
        <f t="shared" si="1"/>
        <v>118.18988383797873</v>
      </c>
      <c r="AN4" s="363">
        <f t="shared" si="1"/>
        <v>116.68728126655471</v>
      </c>
      <c r="AO4" s="363">
        <f t="shared" si="1"/>
        <v>115.203781975499</v>
      </c>
      <c r="AP4" s="363">
        <f t="shared" si="1"/>
        <v>113.73914309598662</v>
      </c>
      <c r="AQ4" s="363">
        <f t="shared" si="1"/>
        <v>112.29312484689623</v>
      </c>
      <c r="AR4" s="363">
        <f t="shared" si="1"/>
        <v>110.86549049555452</v>
      </c>
      <c r="AS4" s="363">
        <f t="shared" si="1"/>
        <v>109.45600631898009</v>
      </c>
      <c r="AT4" s="363">
        <f t="shared" si="1"/>
        <v>108.06444156561959</v>
      </c>
      <c r="AU4" s="363">
        <f t="shared" si="1"/>
        <v>106.69056841757086</v>
      </c>
      <c r="AV4" s="363">
        <f t="shared" si="1"/>
        <v>105.33416195328583</v>
      </c>
    </row>
    <row r="5" spans="1:48" x14ac:dyDescent="0.25">
      <c r="A5" s="350" t="s">
        <v>1722</v>
      </c>
      <c r="B5" t="s">
        <v>295</v>
      </c>
      <c r="C5" t="s">
        <v>865</v>
      </c>
      <c r="D5">
        <f t="shared" si="0"/>
        <v>1505</v>
      </c>
      <c r="E5">
        <f t="shared" si="0"/>
        <v>1552</v>
      </c>
      <c r="F5">
        <f t="shared" si="0"/>
        <v>1599</v>
      </c>
      <c r="G5">
        <f t="shared" si="0"/>
        <v>1469</v>
      </c>
      <c r="H5">
        <f t="shared" si="0"/>
        <v>1663</v>
      </c>
      <c r="I5">
        <f t="shared" si="0"/>
        <v>1735</v>
      </c>
      <c r="J5">
        <f t="shared" si="0"/>
        <v>1903</v>
      </c>
      <c r="K5">
        <f t="shared" si="0"/>
        <v>1785</v>
      </c>
      <c r="L5">
        <f t="shared" si="0"/>
        <v>1914</v>
      </c>
      <c r="M5">
        <f t="shared" si="0"/>
        <v>1960</v>
      </c>
      <c r="N5">
        <f t="shared" si="0"/>
        <v>1796</v>
      </c>
      <c r="O5" s="363">
        <f t="shared" si="2"/>
        <v>1825.1</v>
      </c>
      <c r="P5" s="363">
        <f t="shared" si="1"/>
        <v>1854.1999999999998</v>
      </c>
      <c r="Q5" s="363">
        <f t="shared" si="1"/>
        <v>1883.2999999999997</v>
      </c>
      <c r="R5" s="363">
        <f t="shared" si="1"/>
        <v>1912.3999999999996</v>
      </c>
      <c r="S5" s="363">
        <f t="shared" si="1"/>
        <v>1941.4999999999995</v>
      </c>
      <c r="T5" s="363">
        <f t="shared" si="1"/>
        <v>1970.5999999999995</v>
      </c>
      <c r="U5" s="363">
        <f t="shared" si="1"/>
        <v>1999.6999999999994</v>
      </c>
      <c r="V5" s="363">
        <f t="shared" si="1"/>
        <v>2028.7999999999993</v>
      </c>
      <c r="W5" s="363">
        <f t="shared" si="1"/>
        <v>2057.8999999999992</v>
      </c>
      <c r="X5" s="363">
        <f t="shared" si="1"/>
        <v>2086.9999999999991</v>
      </c>
      <c r="Y5" s="363">
        <f t="shared" si="1"/>
        <v>2116.099999999999</v>
      </c>
      <c r="Z5" s="363">
        <f t="shared" si="1"/>
        <v>2145.1999999999989</v>
      </c>
      <c r="AA5" s="363">
        <f t="shared" si="1"/>
        <v>2174.2999999999988</v>
      </c>
      <c r="AB5" s="363">
        <f t="shared" si="1"/>
        <v>2203.3999999999987</v>
      </c>
      <c r="AC5" s="363">
        <f t="shared" si="1"/>
        <v>2232.4999999999986</v>
      </c>
      <c r="AD5" s="363">
        <f t="shared" si="1"/>
        <v>2261.5999999999985</v>
      </c>
      <c r="AE5" s="363">
        <f t="shared" si="1"/>
        <v>2290.6999999999985</v>
      </c>
      <c r="AF5" s="363">
        <f t="shared" si="1"/>
        <v>2319.7999999999984</v>
      </c>
      <c r="AG5" s="363">
        <f t="shared" si="1"/>
        <v>2348.8999999999983</v>
      </c>
      <c r="AH5" s="363">
        <f t="shared" si="1"/>
        <v>2377.9999999999982</v>
      </c>
      <c r="AI5" s="363">
        <f t="shared" si="1"/>
        <v>2407.0999999999981</v>
      </c>
      <c r="AJ5" s="363">
        <f t="shared" si="1"/>
        <v>2436.199999999998</v>
      </c>
      <c r="AK5" s="363">
        <f t="shared" si="1"/>
        <v>2465.2999999999979</v>
      </c>
      <c r="AL5" s="363">
        <f t="shared" si="1"/>
        <v>2494.3999999999978</v>
      </c>
      <c r="AM5" s="363">
        <f t="shared" si="1"/>
        <v>2523.4999999999977</v>
      </c>
      <c r="AN5" s="363">
        <f t="shared" si="1"/>
        <v>2552.5999999999976</v>
      </c>
      <c r="AO5" s="363">
        <f t="shared" si="1"/>
        <v>2581.6999999999975</v>
      </c>
      <c r="AP5" s="363">
        <f t="shared" si="1"/>
        <v>2610.7999999999975</v>
      </c>
      <c r="AQ5" s="363">
        <f t="shared" si="1"/>
        <v>2639.8999999999974</v>
      </c>
      <c r="AR5" s="363">
        <f t="shared" si="1"/>
        <v>2668.9999999999973</v>
      </c>
      <c r="AS5" s="363">
        <f t="shared" si="1"/>
        <v>2698.0999999999972</v>
      </c>
      <c r="AT5" s="363">
        <f t="shared" si="1"/>
        <v>2727.1999999999971</v>
      </c>
      <c r="AU5" s="363">
        <f t="shared" si="1"/>
        <v>2756.299999999997</v>
      </c>
      <c r="AV5" s="363">
        <f t="shared" si="1"/>
        <v>2785.3999999999969</v>
      </c>
    </row>
    <row r="6" spans="1:48" x14ac:dyDescent="0.25">
      <c r="A6" s="350" t="s">
        <v>1443</v>
      </c>
      <c r="B6" t="s">
        <v>1461</v>
      </c>
      <c r="C6" t="s">
        <v>865</v>
      </c>
      <c r="D6">
        <f t="shared" si="0"/>
        <v>15243</v>
      </c>
      <c r="E6">
        <f t="shared" si="0"/>
        <v>14721</v>
      </c>
      <c r="F6">
        <f t="shared" si="0"/>
        <v>14505</v>
      </c>
      <c r="G6">
        <f t="shared" si="0"/>
        <v>11411</v>
      </c>
      <c r="H6">
        <f t="shared" si="0"/>
        <v>13381</v>
      </c>
      <c r="I6">
        <f t="shared" si="0"/>
        <v>13982</v>
      </c>
      <c r="J6">
        <f t="shared" si="0"/>
        <v>13785</v>
      </c>
      <c r="K6">
        <f t="shared" si="0"/>
        <v>14028</v>
      </c>
      <c r="L6">
        <f t="shared" si="0"/>
        <v>14210</v>
      </c>
      <c r="M6">
        <f t="shared" si="0"/>
        <v>13342</v>
      </c>
      <c r="N6">
        <f t="shared" si="0"/>
        <v>12942</v>
      </c>
      <c r="O6" s="363">
        <f t="shared" si="2"/>
        <v>13288.108562053816</v>
      </c>
      <c r="P6" s="363">
        <f t="shared" si="1"/>
        <v>13207.627587789395</v>
      </c>
      <c r="Q6" s="363">
        <f t="shared" si="1"/>
        <v>13127.634055901617</v>
      </c>
      <c r="R6" s="363">
        <f t="shared" si="1"/>
        <v>13048.125014139061</v>
      </c>
      <c r="S6" s="363">
        <f t="shared" si="1"/>
        <v>12969.097528130957</v>
      </c>
      <c r="T6" s="363">
        <f t="shared" si="1"/>
        <v>12890.548681278902</v>
      </c>
      <c r="U6" s="363">
        <f t="shared" si="1"/>
        <v>12812.475574649203</v>
      </c>
      <c r="V6" s="363">
        <f t="shared" si="1"/>
        <v>12734.875326865898</v>
      </c>
      <c r="W6" s="363">
        <f t="shared" si="1"/>
        <v>12657.745074004411</v>
      </c>
      <c r="X6" s="363">
        <f t="shared" si="1"/>
        <v>12581.081969485867</v>
      </c>
      <c r="Y6" s="363">
        <f t="shared" si="1"/>
        <v>12504.88318397201</v>
      </c>
      <c r="Z6" s="363">
        <f t="shared" si="1"/>
        <v>12429.145905260819</v>
      </c>
      <c r="AA6" s="363">
        <f t="shared" si="1"/>
        <v>12353.867338182696</v>
      </c>
      <c r="AB6" s="363">
        <f t="shared" si="1"/>
        <v>12279.044704497295</v>
      </c>
      <c r="AC6" s="363">
        <f t="shared" si="1"/>
        <v>12204.675242791032</v>
      </c>
      <c r="AD6" s="363">
        <f t="shared" si="1"/>
        <v>12130.756208375136</v>
      </c>
      <c r="AE6" s="363">
        <f t="shared" si="1"/>
        <v>12057.284873184353</v>
      </c>
      <c r="AF6" s="363">
        <f t="shared" si="1"/>
        <v>11984.25852567628</v>
      </c>
      <c r="AG6" s="363">
        <f t="shared" si="1"/>
        <v>11911.67447073129</v>
      </c>
      <c r="AH6" s="363">
        <f t="shared" si="1"/>
        <v>11839.530029553058</v>
      </c>
      <c r="AI6" s="363">
        <f t="shared" si="1"/>
        <v>11767.822539569697</v>
      </c>
      <c r="AJ6" s="363">
        <f t="shared" si="1"/>
        <v>11696.549354335501</v>
      </c>
      <c r="AK6" s="363">
        <f t="shared" si="1"/>
        <v>11625.707843433265</v>
      </c>
      <c r="AL6" s="363">
        <f t="shared" si="1"/>
        <v>11555.295392377224</v>
      </c>
      <c r="AM6" s="363">
        <f t="shared" si="1"/>
        <v>11485.309402516532</v>
      </c>
      <c r="AN6" s="363">
        <f t="shared" si="1"/>
        <v>11415.747290939387</v>
      </c>
      <c r="AO6" s="363">
        <f t="shared" si="1"/>
        <v>11346.606490377684</v>
      </c>
      <c r="AP6" s="363">
        <f t="shared" si="1"/>
        <v>11277.884449112282</v>
      </c>
      <c r="AQ6" s="363">
        <f t="shared" si="1"/>
        <v>11209.578630878823</v>
      </c>
      <c r="AR6" s="363">
        <f t="shared" si="1"/>
        <v>11141.68651477413</v>
      </c>
      <c r="AS6" s="363">
        <f t="shared" si="1"/>
        <v>11074.205595163159</v>
      </c>
      <c r="AT6" s="363">
        <f t="shared" si="1"/>
        <v>11007.133381586556</v>
      </c>
      <c r="AU6" s="363">
        <f t="shared" si="1"/>
        <v>10940.467398668701</v>
      </c>
      <c r="AV6" s="363">
        <f t="shared" si="1"/>
        <v>10874.205186026385</v>
      </c>
    </row>
    <row r="7" spans="1:48" x14ac:dyDescent="0.25">
      <c r="A7" s="350" t="s">
        <v>1444</v>
      </c>
      <c r="B7" t="s">
        <v>1461</v>
      </c>
      <c r="C7" t="s">
        <v>865</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s="363">
        <f t="shared" si="2"/>
        <v>0</v>
      </c>
      <c r="P7" s="363">
        <f t="shared" si="1"/>
        <v>0</v>
      </c>
      <c r="Q7" s="363">
        <f t="shared" si="1"/>
        <v>0</v>
      </c>
      <c r="R7" s="363">
        <f t="shared" si="1"/>
        <v>0</v>
      </c>
      <c r="S7" s="363">
        <f t="shared" si="1"/>
        <v>0</v>
      </c>
      <c r="T7" s="363">
        <f t="shared" si="1"/>
        <v>0</v>
      </c>
      <c r="U7" s="363">
        <f t="shared" si="1"/>
        <v>0</v>
      </c>
      <c r="V7" s="363">
        <f t="shared" si="1"/>
        <v>0</v>
      </c>
      <c r="W7" s="363">
        <f t="shared" si="1"/>
        <v>0</v>
      </c>
      <c r="X7" s="363">
        <f t="shared" si="1"/>
        <v>0</v>
      </c>
      <c r="Y7" s="363">
        <f t="shared" si="1"/>
        <v>0</v>
      </c>
      <c r="Z7" s="363">
        <f t="shared" si="1"/>
        <v>0</v>
      </c>
      <c r="AA7" s="363">
        <f t="shared" si="1"/>
        <v>0</v>
      </c>
      <c r="AB7" s="363">
        <f t="shared" si="1"/>
        <v>0</v>
      </c>
      <c r="AC7" s="363">
        <f t="shared" si="1"/>
        <v>0</v>
      </c>
      <c r="AD7" s="363">
        <f t="shared" si="1"/>
        <v>0</v>
      </c>
      <c r="AE7" s="363">
        <f t="shared" si="1"/>
        <v>0</v>
      </c>
      <c r="AF7" s="363">
        <f t="shared" si="1"/>
        <v>0</v>
      </c>
      <c r="AG7" s="363">
        <f t="shared" si="1"/>
        <v>0</v>
      </c>
      <c r="AH7" s="363">
        <f t="shared" si="1"/>
        <v>0</v>
      </c>
      <c r="AI7" s="363">
        <f t="shared" si="1"/>
        <v>0</v>
      </c>
      <c r="AJ7" s="363">
        <f t="shared" si="1"/>
        <v>0</v>
      </c>
      <c r="AK7" s="363">
        <f t="shared" si="1"/>
        <v>0</v>
      </c>
      <c r="AL7" s="363">
        <f t="shared" si="1"/>
        <v>0</v>
      </c>
      <c r="AM7" s="363">
        <f t="shared" si="1"/>
        <v>0</v>
      </c>
      <c r="AN7" s="363">
        <f t="shared" si="1"/>
        <v>0</v>
      </c>
      <c r="AO7" s="363">
        <f t="shared" si="1"/>
        <v>0</v>
      </c>
      <c r="AP7" s="363">
        <f t="shared" si="1"/>
        <v>0</v>
      </c>
      <c r="AQ7" s="363">
        <f t="shared" si="1"/>
        <v>0</v>
      </c>
      <c r="AR7" s="363">
        <f t="shared" si="1"/>
        <v>0</v>
      </c>
      <c r="AS7" s="363">
        <f t="shared" si="1"/>
        <v>0</v>
      </c>
      <c r="AT7" s="363">
        <f t="shared" si="1"/>
        <v>0</v>
      </c>
      <c r="AU7" s="363">
        <f t="shared" si="1"/>
        <v>0</v>
      </c>
      <c r="AV7" s="363">
        <f t="shared" si="1"/>
        <v>0</v>
      </c>
    </row>
    <row r="8" spans="1:48" x14ac:dyDescent="0.25">
      <c r="A8" s="350" t="s">
        <v>1445</v>
      </c>
      <c r="B8" t="s">
        <v>229</v>
      </c>
      <c r="C8" t="s">
        <v>865</v>
      </c>
      <c r="D8">
        <f t="shared" si="0"/>
        <v>8781</v>
      </c>
      <c r="E8">
        <f t="shared" si="0"/>
        <v>9074</v>
      </c>
      <c r="F8">
        <f t="shared" si="0"/>
        <v>8414</v>
      </c>
      <c r="G8">
        <f t="shared" si="0"/>
        <v>8454</v>
      </c>
      <c r="H8">
        <f t="shared" si="0"/>
        <v>9188</v>
      </c>
      <c r="I8">
        <f t="shared" si="0"/>
        <v>9292</v>
      </c>
      <c r="J8">
        <f t="shared" si="0"/>
        <v>9377</v>
      </c>
      <c r="K8">
        <f t="shared" si="0"/>
        <v>9962</v>
      </c>
      <c r="L8">
        <f t="shared" si="0"/>
        <v>9619</v>
      </c>
      <c r="M8">
        <f t="shared" si="0"/>
        <v>10799</v>
      </c>
      <c r="N8">
        <f t="shared" si="0"/>
        <v>12194</v>
      </c>
      <c r="O8" s="363">
        <f t="shared" si="2"/>
        <v>12535.3</v>
      </c>
      <c r="P8" s="363">
        <f t="shared" si="1"/>
        <v>12876.599999999999</v>
      </c>
      <c r="Q8" s="363">
        <f t="shared" si="1"/>
        <v>13217.899999999998</v>
      </c>
      <c r="R8" s="363">
        <f t="shared" si="1"/>
        <v>13559.199999999997</v>
      </c>
      <c r="S8" s="363">
        <f t="shared" si="1"/>
        <v>13900.499999999996</v>
      </c>
      <c r="T8" s="363">
        <f t="shared" si="1"/>
        <v>14241.799999999996</v>
      </c>
      <c r="U8" s="363">
        <f t="shared" si="1"/>
        <v>14583.099999999995</v>
      </c>
      <c r="V8" s="363">
        <f t="shared" si="1"/>
        <v>14924.399999999994</v>
      </c>
      <c r="W8" s="363">
        <f t="shared" si="1"/>
        <v>15265.699999999993</v>
      </c>
      <c r="X8" s="363">
        <f t="shared" si="1"/>
        <v>15606.999999999993</v>
      </c>
      <c r="Y8" s="363">
        <f t="shared" si="1"/>
        <v>15948.299999999992</v>
      </c>
      <c r="Z8" s="363">
        <f t="shared" si="1"/>
        <v>16289.599999999991</v>
      </c>
      <c r="AA8" s="363">
        <f t="shared" si="1"/>
        <v>16630.899999999991</v>
      </c>
      <c r="AB8" s="363">
        <f t="shared" si="1"/>
        <v>16972.19999999999</v>
      </c>
      <c r="AC8" s="363">
        <f t="shared" si="1"/>
        <v>17313.499999999989</v>
      </c>
      <c r="AD8" s="363">
        <f t="shared" si="1"/>
        <v>17654.799999999988</v>
      </c>
      <c r="AE8" s="363">
        <f t="shared" si="1"/>
        <v>17996.099999999988</v>
      </c>
      <c r="AF8" s="363">
        <f t="shared" si="1"/>
        <v>18337.399999999987</v>
      </c>
      <c r="AG8" s="363">
        <f t="shared" si="1"/>
        <v>18678.699999999986</v>
      </c>
      <c r="AH8" s="363">
        <f t="shared" si="1"/>
        <v>19019.999999999985</v>
      </c>
      <c r="AI8" s="363">
        <f t="shared" si="1"/>
        <v>19361.299999999985</v>
      </c>
      <c r="AJ8" s="363">
        <f t="shared" si="1"/>
        <v>19702.599999999984</v>
      </c>
      <c r="AK8" s="363">
        <f t="shared" si="1"/>
        <v>20043.899999999983</v>
      </c>
      <c r="AL8" s="363">
        <f t="shared" si="1"/>
        <v>20385.199999999983</v>
      </c>
      <c r="AM8" s="363">
        <f t="shared" si="1"/>
        <v>20726.499999999982</v>
      </c>
      <c r="AN8" s="363">
        <f t="shared" si="1"/>
        <v>21067.799999999981</v>
      </c>
      <c r="AO8" s="363">
        <f t="shared" si="1"/>
        <v>21409.09999999998</v>
      </c>
      <c r="AP8" s="363">
        <f t="shared" si="1"/>
        <v>21750.39999999998</v>
      </c>
      <c r="AQ8" s="363">
        <f t="shared" si="1"/>
        <v>22091.699999999979</v>
      </c>
      <c r="AR8" s="363">
        <f t="shared" si="1"/>
        <v>22432.999999999978</v>
      </c>
      <c r="AS8" s="363">
        <f t="shared" si="1"/>
        <v>22774.299999999977</v>
      </c>
      <c r="AT8" s="363">
        <f t="shared" si="1"/>
        <v>23115.599999999977</v>
      </c>
      <c r="AU8" s="363">
        <f t="shared" si="1"/>
        <v>23456.899999999976</v>
      </c>
      <c r="AV8" s="363">
        <f t="shared" si="1"/>
        <v>23798.199999999975</v>
      </c>
    </row>
    <row r="9" spans="1:48" x14ac:dyDescent="0.25">
      <c r="A9" s="351" t="s">
        <v>1724</v>
      </c>
      <c r="B9" t="s">
        <v>295</v>
      </c>
      <c r="C9" t="s">
        <v>865</v>
      </c>
      <c r="D9">
        <f t="shared" si="0"/>
        <v>3519</v>
      </c>
      <c r="E9">
        <f t="shared" si="0"/>
        <v>4944</v>
      </c>
      <c r="F9">
        <f t="shared" si="0"/>
        <v>4065</v>
      </c>
      <c r="G9">
        <f t="shared" si="0"/>
        <v>3427</v>
      </c>
      <c r="H9">
        <f t="shared" si="0"/>
        <v>4730</v>
      </c>
      <c r="I9">
        <f t="shared" si="0"/>
        <v>4030</v>
      </c>
      <c r="J9">
        <f t="shared" si="0"/>
        <v>4407</v>
      </c>
      <c r="K9">
        <f t="shared" si="0"/>
        <v>4014</v>
      </c>
      <c r="L9">
        <f t="shared" si="0"/>
        <v>1380</v>
      </c>
      <c r="M9">
        <f t="shared" si="0"/>
        <v>1128</v>
      </c>
      <c r="N9">
        <f t="shared" si="0"/>
        <v>3959</v>
      </c>
      <c r="O9" s="363">
        <f t="shared" si="2"/>
        <v>4003</v>
      </c>
      <c r="P9" s="363">
        <f t="shared" si="1"/>
        <v>4047</v>
      </c>
      <c r="Q9" s="363">
        <f t="shared" si="1"/>
        <v>4091</v>
      </c>
      <c r="R9" s="363">
        <f t="shared" si="1"/>
        <v>4135</v>
      </c>
      <c r="S9" s="363">
        <f t="shared" si="1"/>
        <v>4179</v>
      </c>
      <c r="T9" s="363">
        <f t="shared" si="1"/>
        <v>4223</v>
      </c>
      <c r="U9" s="363">
        <f t="shared" si="1"/>
        <v>4267</v>
      </c>
      <c r="V9" s="363">
        <f t="shared" si="1"/>
        <v>4311</v>
      </c>
      <c r="W9" s="363">
        <f t="shared" si="1"/>
        <v>4355</v>
      </c>
      <c r="X9" s="363">
        <f t="shared" si="1"/>
        <v>4399</v>
      </c>
      <c r="Y9" s="363">
        <f t="shared" si="1"/>
        <v>4443</v>
      </c>
      <c r="Z9" s="363">
        <f t="shared" si="1"/>
        <v>4487</v>
      </c>
      <c r="AA9" s="363">
        <f t="shared" si="1"/>
        <v>4531</v>
      </c>
      <c r="AB9" s="363">
        <f t="shared" si="1"/>
        <v>4575</v>
      </c>
      <c r="AC9" s="363">
        <f t="shared" si="1"/>
        <v>4619</v>
      </c>
      <c r="AD9" s="363">
        <f t="shared" si="1"/>
        <v>4663</v>
      </c>
      <c r="AE9" s="363">
        <f t="shared" si="1"/>
        <v>4707</v>
      </c>
      <c r="AF9" s="363">
        <f t="shared" si="1"/>
        <v>4751</v>
      </c>
      <c r="AG9" s="363">
        <f t="shared" si="1"/>
        <v>4795</v>
      </c>
      <c r="AH9" s="363">
        <f t="shared" si="1"/>
        <v>4839</v>
      </c>
      <c r="AI9" s="363">
        <f t="shared" si="1"/>
        <v>4883</v>
      </c>
      <c r="AJ9" s="363">
        <f t="shared" si="1"/>
        <v>4927</v>
      </c>
      <c r="AK9" s="363">
        <f t="shared" si="1"/>
        <v>4971</v>
      </c>
      <c r="AL9" s="363">
        <f t="shared" si="1"/>
        <v>5015</v>
      </c>
      <c r="AM9" s="363">
        <f t="shared" si="1"/>
        <v>5059</v>
      </c>
      <c r="AN9" s="363">
        <f t="shared" si="1"/>
        <v>5103</v>
      </c>
      <c r="AO9" s="363">
        <f t="shared" si="1"/>
        <v>5147</v>
      </c>
      <c r="AP9" s="363">
        <f t="shared" si="1"/>
        <v>5191</v>
      </c>
      <c r="AQ9" s="363">
        <f t="shared" si="1"/>
        <v>5235</v>
      </c>
      <c r="AR9" s="363">
        <f t="shared" si="1"/>
        <v>5279</v>
      </c>
      <c r="AS9" s="363">
        <f t="shared" si="1"/>
        <v>5323</v>
      </c>
      <c r="AT9" s="363">
        <f t="shared" si="1"/>
        <v>5367</v>
      </c>
      <c r="AU9" s="363">
        <f t="shared" si="1"/>
        <v>5411</v>
      </c>
      <c r="AV9" s="363">
        <f t="shared" si="1"/>
        <v>5455</v>
      </c>
    </row>
    <row r="10" spans="1:48" x14ac:dyDescent="0.25">
      <c r="A10" s="350" t="s">
        <v>1447</v>
      </c>
      <c r="B10" t="s">
        <v>229</v>
      </c>
      <c r="C10" t="s">
        <v>865</v>
      </c>
      <c r="D10">
        <f t="shared" si="0"/>
        <v>2902</v>
      </c>
      <c r="E10">
        <f t="shared" si="0"/>
        <v>2937</v>
      </c>
      <c r="F10">
        <f t="shared" si="0"/>
        <v>2960</v>
      </c>
      <c r="G10">
        <f t="shared" si="0"/>
        <v>2569</v>
      </c>
      <c r="H10">
        <f t="shared" si="0"/>
        <v>2697</v>
      </c>
      <c r="I10">
        <f t="shared" si="0"/>
        <v>2712</v>
      </c>
      <c r="J10">
        <f t="shared" si="0"/>
        <v>2763</v>
      </c>
      <c r="K10">
        <f t="shared" si="0"/>
        <v>2804</v>
      </c>
      <c r="L10">
        <f t="shared" si="0"/>
        <v>2827</v>
      </c>
      <c r="M10">
        <f t="shared" si="0"/>
        <v>2789</v>
      </c>
      <c r="N10">
        <f t="shared" si="0"/>
        <v>1723</v>
      </c>
      <c r="O10" s="363">
        <f t="shared" si="2"/>
        <v>2720.7520772157445</v>
      </c>
      <c r="P10" s="363">
        <f t="shared" si="1"/>
        <v>2709.703162945887</v>
      </c>
      <c r="Q10" s="363">
        <f t="shared" si="1"/>
        <v>2698.6991180735631</v>
      </c>
      <c r="R10" s="363">
        <f t="shared" si="1"/>
        <v>2687.7397603851373</v>
      </c>
      <c r="S10" s="363">
        <f t="shared" si="1"/>
        <v>2676.8249084069403</v>
      </c>
      <c r="T10" s="363">
        <f t="shared" si="1"/>
        <v>2665.9543814022622</v>
      </c>
      <c r="U10" s="363">
        <f t="shared" si="1"/>
        <v>2655.1279993683629</v>
      </c>
      <c r="V10" s="363">
        <f t="shared" ref="P10:AV17" si="3">IFERROR(IF($N10-$D10&gt;=0,($N10-$D10)/COUNT($E$1:$N$1)+U10,$F364*$E364^V$1),0)</f>
        <v>2644.3455830334865</v>
      </c>
      <c r="W10" s="363">
        <f t="shared" si="3"/>
        <v>2633.6069538539</v>
      </c>
      <c r="X10" s="363">
        <f t="shared" si="3"/>
        <v>2622.9119340109269</v>
      </c>
      <c r="Y10" s="363">
        <f t="shared" si="3"/>
        <v>2612.2603464080125</v>
      </c>
      <c r="Z10" s="363">
        <f t="shared" si="3"/>
        <v>2601.6520146677885</v>
      </c>
      <c r="AA10" s="363">
        <f t="shared" si="3"/>
        <v>2591.0867631291453</v>
      </c>
      <c r="AB10" s="363">
        <f t="shared" si="3"/>
        <v>2580.5644168443382</v>
      </c>
      <c r="AC10" s="363">
        <f t="shared" si="3"/>
        <v>2570.0848015760721</v>
      </c>
      <c r="AD10" s="363">
        <f t="shared" si="3"/>
        <v>2559.6477437946305</v>
      </c>
      <c r="AE10" s="363">
        <f t="shared" si="3"/>
        <v>2549.2530706749972</v>
      </c>
      <c r="AF10" s="363">
        <f t="shared" si="3"/>
        <v>2538.9006100939946</v>
      </c>
      <c r="AG10" s="363">
        <f t="shared" si="3"/>
        <v>2528.5901906274303</v>
      </c>
      <c r="AH10" s="363">
        <f t="shared" si="3"/>
        <v>2518.3216415472684</v>
      </c>
      <c r="AI10" s="363">
        <f t="shared" si="3"/>
        <v>2508.0947928187884</v>
      </c>
      <c r="AJ10" s="363">
        <f t="shared" si="3"/>
        <v>2497.9094750977824</v>
      </c>
      <c r="AK10" s="363">
        <f t="shared" si="3"/>
        <v>2487.7655197277427</v>
      </c>
      <c r="AL10" s="363">
        <f t="shared" si="3"/>
        <v>2477.6627587370731</v>
      </c>
      <c r="AM10" s="363">
        <f t="shared" si="3"/>
        <v>2467.6010248363059</v>
      </c>
      <c r="AN10" s="363">
        <f t="shared" si="3"/>
        <v>2457.5801514153331</v>
      </c>
      <c r="AO10" s="363">
        <f t="shared" si="3"/>
        <v>2447.5999725406446</v>
      </c>
      <c r="AP10" s="363">
        <f t="shared" si="3"/>
        <v>2437.6603229525863</v>
      </c>
      <c r="AQ10" s="363">
        <f t="shared" si="3"/>
        <v>2427.7610380626161</v>
      </c>
      <c r="AR10" s="363">
        <f t="shared" si="3"/>
        <v>2417.9019539505853</v>
      </c>
      <c r="AS10" s="363">
        <f t="shared" si="3"/>
        <v>2408.0829073620189</v>
      </c>
      <c r="AT10" s="363">
        <f t="shared" si="3"/>
        <v>2398.3037357054168</v>
      </c>
      <c r="AU10" s="363">
        <f t="shared" si="3"/>
        <v>2388.5642770495565</v>
      </c>
      <c r="AV10" s="363">
        <f t="shared" si="3"/>
        <v>2378.8643701208184</v>
      </c>
    </row>
    <row r="11" spans="1:48" x14ac:dyDescent="0.25">
      <c r="A11" s="350" t="s">
        <v>1448</v>
      </c>
      <c r="B11" t="s">
        <v>228</v>
      </c>
      <c r="C11" t="s">
        <v>865</v>
      </c>
      <c r="D11">
        <f t="shared" si="0"/>
        <v>27187</v>
      </c>
      <c r="E11">
        <f t="shared" si="0"/>
        <v>27627</v>
      </c>
      <c r="F11">
        <f t="shared" si="0"/>
        <v>24352</v>
      </c>
      <c r="G11">
        <f t="shared" si="0"/>
        <v>23403</v>
      </c>
      <c r="H11">
        <f t="shared" si="0"/>
        <v>27262</v>
      </c>
      <c r="I11">
        <f t="shared" si="0"/>
        <v>26338</v>
      </c>
      <c r="J11">
        <f t="shared" si="0"/>
        <v>26501</v>
      </c>
      <c r="K11">
        <f t="shared" si="0"/>
        <v>26395</v>
      </c>
      <c r="L11">
        <f t="shared" si="0"/>
        <v>26496</v>
      </c>
      <c r="M11">
        <f t="shared" si="0"/>
        <v>28062</v>
      </c>
      <c r="N11">
        <f t="shared" si="0"/>
        <v>28110</v>
      </c>
      <c r="O11" s="363">
        <f t="shared" si="2"/>
        <v>28202.3</v>
      </c>
      <c r="P11" s="363">
        <f t="shared" si="3"/>
        <v>28294.6</v>
      </c>
      <c r="Q11" s="363">
        <f t="shared" si="3"/>
        <v>28386.899999999998</v>
      </c>
      <c r="R11" s="363">
        <f t="shared" si="3"/>
        <v>28479.199999999997</v>
      </c>
      <c r="S11" s="363">
        <f t="shared" si="3"/>
        <v>28571.499999999996</v>
      </c>
      <c r="T11" s="363">
        <f t="shared" si="3"/>
        <v>28663.799999999996</v>
      </c>
      <c r="U11" s="363">
        <f t="shared" si="3"/>
        <v>28756.099999999995</v>
      </c>
      <c r="V11" s="363">
        <f t="shared" si="3"/>
        <v>28848.399999999994</v>
      </c>
      <c r="W11" s="363">
        <f t="shared" si="3"/>
        <v>28940.699999999993</v>
      </c>
      <c r="X11" s="363">
        <f t="shared" si="3"/>
        <v>29032.999999999993</v>
      </c>
      <c r="Y11" s="363">
        <f t="shared" si="3"/>
        <v>29125.299999999992</v>
      </c>
      <c r="Z11" s="363">
        <f t="shared" si="3"/>
        <v>29217.599999999991</v>
      </c>
      <c r="AA11" s="363">
        <f t="shared" si="3"/>
        <v>29309.899999999991</v>
      </c>
      <c r="AB11" s="363">
        <f t="shared" si="3"/>
        <v>29402.19999999999</v>
      </c>
      <c r="AC11" s="363">
        <f t="shared" si="3"/>
        <v>29494.499999999989</v>
      </c>
      <c r="AD11" s="363">
        <f t="shared" si="3"/>
        <v>29586.799999999988</v>
      </c>
      <c r="AE11" s="363">
        <f t="shared" si="3"/>
        <v>29679.099999999988</v>
      </c>
      <c r="AF11" s="363">
        <f t="shared" si="3"/>
        <v>29771.399999999987</v>
      </c>
      <c r="AG11" s="363">
        <f t="shared" si="3"/>
        <v>29863.699999999986</v>
      </c>
      <c r="AH11" s="363">
        <f t="shared" si="3"/>
        <v>29955.999999999985</v>
      </c>
      <c r="AI11" s="363">
        <f t="shared" si="3"/>
        <v>30048.299999999985</v>
      </c>
      <c r="AJ11" s="363">
        <f t="shared" si="3"/>
        <v>30140.599999999984</v>
      </c>
      <c r="AK11" s="363">
        <f t="shared" si="3"/>
        <v>30232.899999999983</v>
      </c>
      <c r="AL11" s="363">
        <f t="shared" si="3"/>
        <v>30325.199999999983</v>
      </c>
      <c r="AM11" s="363">
        <f t="shared" si="3"/>
        <v>30417.499999999982</v>
      </c>
      <c r="AN11" s="363">
        <f t="shared" si="3"/>
        <v>30509.799999999981</v>
      </c>
      <c r="AO11" s="363">
        <f t="shared" si="3"/>
        <v>30602.09999999998</v>
      </c>
      <c r="AP11" s="363">
        <f t="shared" si="3"/>
        <v>30694.39999999998</v>
      </c>
      <c r="AQ11" s="363">
        <f t="shared" si="3"/>
        <v>30786.699999999979</v>
      </c>
      <c r="AR11" s="363">
        <f t="shared" si="3"/>
        <v>30878.999999999978</v>
      </c>
      <c r="AS11" s="363">
        <f t="shared" si="3"/>
        <v>30971.299999999977</v>
      </c>
      <c r="AT11" s="363">
        <f t="shared" si="3"/>
        <v>31063.599999999977</v>
      </c>
      <c r="AU11" s="363">
        <f t="shared" si="3"/>
        <v>31155.899999999976</v>
      </c>
      <c r="AV11" s="363">
        <f t="shared" si="3"/>
        <v>31248.199999999975</v>
      </c>
    </row>
    <row r="12" spans="1:48" x14ac:dyDescent="0.25">
      <c r="A12" s="350" t="s">
        <v>1449</v>
      </c>
      <c r="B12" t="s">
        <v>295</v>
      </c>
      <c r="C12" t="s">
        <v>865</v>
      </c>
      <c r="D12">
        <f t="shared" ref="D12:N25" si="4">IFERROR(INDEX($B$178:$AB$210,MATCH($A12,$A$178:$A$210,0),MATCH(D$1,$B$176:$AB$176,0)),0)</f>
        <v>1758</v>
      </c>
      <c r="E12">
        <f t="shared" si="4"/>
        <v>1922</v>
      </c>
      <c r="F12">
        <f t="shared" si="4"/>
        <v>1834</v>
      </c>
      <c r="G12">
        <f t="shared" si="4"/>
        <v>1795</v>
      </c>
      <c r="H12">
        <f t="shared" si="4"/>
        <v>4425</v>
      </c>
      <c r="I12">
        <f t="shared" si="4"/>
        <v>4083</v>
      </c>
      <c r="J12">
        <f t="shared" si="4"/>
        <v>4019</v>
      </c>
      <c r="K12">
        <f t="shared" si="4"/>
        <v>4188</v>
      </c>
      <c r="L12">
        <f t="shared" si="4"/>
        <v>4471</v>
      </c>
      <c r="M12">
        <f t="shared" si="4"/>
        <v>4296</v>
      </c>
      <c r="N12">
        <f t="shared" si="4"/>
        <v>4471</v>
      </c>
      <c r="O12" s="363">
        <f t="shared" si="2"/>
        <v>4742.3</v>
      </c>
      <c r="P12" s="363">
        <f t="shared" si="3"/>
        <v>5013.6000000000004</v>
      </c>
      <c r="Q12" s="363">
        <f t="shared" si="3"/>
        <v>5284.9000000000005</v>
      </c>
      <c r="R12" s="363">
        <f t="shared" si="3"/>
        <v>5556.2000000000007</v>
      </c>
      <c r="S12" s="363">
        <f t="shared" si="3"/>
        <v>5827.5000000000009</v>
      </c>
      <c r="T12" s="363">
        <f t="shared" si="3"/>
        <v>6098.8000000000011</v>
      </c>
      <c r="U12" s="363">
        <f t="shared" si="3"/>
        <v>6370.1000000000013</v>
      </c>
      <c r="V12" s="363">
        <f t="shared" si="3"/>
        <v>6641.4000000000015</v>
      </c>
      <c r="W12" s="363">
        <f t="shared" si="3"/>
        <v>6912.7000000000016</v>
      </c>
      <c r="X12" s="363">
        <f t="shared" si="3"/>
        <v>7184.0000000000018</v>
      </c>
      <c r="Y12" s="363">
        <f t="shared" si="3"/>
        <v>7455.300000000002</v>
      </c>
      <c r="Z12" s="363">
        <f t="shared" si="3"/>
        <v>7726.6000000000022</v>
      </c>
      <c r="AA12" s="363">
        <f t="shared" si="3"/>
        <v>7997.9000000000024</v>
      </c>
      <c r="AB12" s="363">
        <f t="shared" si="3"/>
        <v>8269.2000000000025</v>
      </c>
      <c r="AC12" s="363">
        <f t="shared" si="3"/>
        <v>8540.5000000000018</v>
      </c>
      <c r="AD12" s="363">
        <f t="shared" si="3"/>
        <v>8811.8000000000011</v>
      </c>
      <c r="AE12" s="363">
        <f t="shared" si="3"/>
        <v>9083.1</v>
      </c>
      <c r="AF12" s="363">
        <f t="shared" si="3"/>
        <v>9354.4</v>
      </c>
      <c r="AG12" s="363">
        <f t="shared" si="3"/>
        <v>9625.6999999999989</v>
      </c>
      <c r="AH12" s="363">
        <f t="shared" si="3"/>
        <v>9896.9999999999982</v>
      </c>
      <c r="AI12" s="363">
        <f t="shared" si="3"/>
        <v>10168.299999999997</v>
      </c>
      <c r="AJ12" s="363">
        <f t="shared" si="3"/>
        <v>10439.599999999997</v>
      </c>
      <c r="AK12" s="363">
        <f t="shared" si="3"/>
        <v>10710.899999999996</v>
      </c>
      <c r="AL12" s="363">
        <f t="shared" si="3"/>
        <v>10982.199999999995</v>
      </c>
      <c r="AM12" s="363">
        <f t="shared" si="3"/>
        <v>11253.499999999995</v>
      </c>
      <c r="AN12" s="363">
        <f t="shared" si="3"/>
        <v>11524.799999999994</v>
      </c>
      <c r="AO12" s="363">
        <f t="shared" si="3"/>
        <v>11796.099999999993</v>
      </c>
      <c r="AP12" s="363">
        <f t="shared" si="3"/>
        <v>12067.399999999992</v>
      </c>
      <c r="AQ12" s="363">
        <f t="shared" si="3"/>
        <v>12338.699999999992</v>
      </c>
      <c r="AR12" s="363">
        <f t="shared" si="3"/>
        <v>12609.999999999991</v>
      </c>
      <c r="AS12" s="363">
        <f t="shared" si="3"/>
        <v>12881.29999999999</v>
      </c>
      <c r="AT12" s="363">
        <f t="shared" si="3"/>
        <v>13152.599999999989</v>
      </c>
      <c r="AU12" s="363">
        <f t="shared" si="3"/>
        <v>13423.899999999989</v>
      </c>
      <c r="AV12" s="363">
        <f t="shared" si="3"/>
        <v>13695.199999999988</v>
      </c>
    </row>
    <row r="13" spans="1:48" x14ac:dyDescent="0.25">
      <c r="A13" s="350" t="s">
        <v>1450</v>
      </c>
      <c r="B13" t="s">
        <v>295</v>
      </c>
      <c r="C13" t="s">
        <v>865</v>
      </c>
      <c r="D13">
        <f t="shared" si="4"/>
        <v>1836</v>
      </c>
      <c r="E13">
        <f t="shared" si="4"/>
        <v>1930</v>
      </c>
      <c r="F13">
        <f t="shared" si="4"/>
        <v>1809</v>
      </c>
      <c r="G13">
        <f t="shared" si="4"/>
        <v>1648</v>
      </c>
      <c r="H13">
        <f t="shared" si="4"/>
        <v>1769</v>
      </c>
      <c r="I13">
        <f t="shared" si="4"/>
        <v>1729</v>
      </c>
      <c r="J13">
        <f t="shared" si="4"/>
        <v>1528</v>
      </c>
      <c r="K13">
        <f t="shared" si="4"/>
        <v>1715</v>
      </c>
      <c r="L13">
        <f t="shared" si="4"/>
        <v>1688</v>
      </c>
      <c r="M13">
        <f t="shared" si="4"/>
        <v>1635</v>
      </c>
      <c r="N13">
        <f t="shared" si="4"/>
        <v>1608</v>
      </c>
      <c r="O13" s="363">
        <f t="shared" si="2"/>
        <v>1563.6094251569864</v>
      </c>
      <c r="P13" s="363">
        <f t="shared" si="3"/>
        <v>1540.1171774595696</v>
      </c>
      <c r="Q13" s="363">
        <f t="shared" si="3"/>
        <v>1516.9778860010949</v>
      </c>
      <c r="R13" s="363">
        <f t="shared" si="3"/>
        <v>1494.186247836172</v>
      </c>
      <c r="S13" s="363">
        <f t="shared" si="3"/>
        <v>1471.7370396928297</v>
      </c>
      <c r="T13" s="363">
        <f t="shared" si="3"/>
        <v>1449.6251167754715</v>
      </c>
      <c r="U13" s="363">
        <f t="shared" si="3"/>
        <v>1427.8454115858162</v>
      </c>
      <c r="V13" s="363">
        <f t="shared" si="3"/>
        <v>1406.3929327615558</v>
      </c>
      <c r="W13" s="363">
        <f t="shared" si="3"/>
        <v>1385.2627639324612</v>
      </c>
      <c r="X13" s="363">
        <f t="shared" si="3"/>
        <v>1364.4500625936716</v>
      </c>
      <c r="Y13" s="363">
        <f t="shared" si="3"/>
        <v>1343.9500589959141</v>
      </c>
      <c r="Z13" s="363">
        <f t="shared" si="3"/>
        <v>1323.7580550523974</v>
      </c>
      <c r="AA13" s="363">
        <f t="shared" si="3"/>
        <v>1303.8694232621285</v>
      </c>
      <c r="AB13" s="363">
        <f t="shared" si="3"/>
        <v>1284.2796056494046</v>
      </c>
      <c r="AC13" s="363">
        <f t="shared" si="3"/>
        <v>1264.9841127192394</v>
      </c>
      <c r="AD13" s="363">
        <f t="shared" si="3"/>
        <v>1245.9785224284842</v>
      </c>
      <c r="AE13" s="363">
        <f t="shared" si="3"/>
        <v>1227.2584791724055</v>
      </c>
      <c r="AF13" s="363">
        <f t="shared" si="3"/>
        <v>1208.8196927864908</v>
      </c>
      <c r="AG13" s="363">
        <f t="shared" si="3"/>
        <v>1190.6579375632489</v>
      </c>
      <c r="AH13" s="363">
        <f t="shared" si="3"/>
        <v>1172.7690512837853</v>
      </c>
      <c r="AI13" s="363">
        <f t="shared" si="3"/>
        <v>1155.1489342639243</v>
      </c>
      <c r="AJ13" s="363">
        <f t="shared" si="3"/>
        <v>1137.7935484146674</v>
      </c>
      <c r="AK13" s="363">
        <f t="shared" si="3"/>
        <v>1120.6989163167596</v>
      </c>
      <c r="AL13" s="363">
        <f t="shared" si="3"/>
        <v>1103.8611203091689</v>
      </c>
      <c r="AM13" s="363">
        <f t="shared" si="3"/>
        <v>1087.2763015912544</v>
      </c>
      <c r="AN13" s="363">
        <f t="shared" si="3"/>
        <v>1070.9406593384276</v>
      </c>
      <c r="AO13" s="363">
        <f t="shared" si="3"/>
        <v>1054.850449831097</v>
      </c>
      <c r="AP13" s="363">
        <f t="shared" si="3"/>
        <v>1039.0019855967021</v>
      </c>
      <c r="AQ13" s="363">
        <f t="shared" si="3"/>
        <v>1023.3916345646375</v>
      </c>
      <c r="AR13" s="363">
        <f t="shared" si="3"/>
        <v>1008.0158192338731</v>
      </c>
      <c r="AS13" s="363">
        <f t="shared" si="3"/>
        <v>992.87101585308073</v>
      </c>
      <c r="AT13" s="363">
        <f t="shared" si="3"/>
        <v>977.95375361307833</v>
      </c>
      <c r="AU13" s="363">
        <f t="shared" si="3"/>
        <v>963.26061385140804</v>
      </c>
      <c r="AV13" s="363">
        <f t="shared" si="3"/>
        <v>948.78822926886392</v>
      </c>
    </row>
    <row r="14" spans="1:48" x14ac:dyDescent="0.25">
      <c r="A14" s="350" t="s">
        <v>1451</v>
      </c>
      <c r="B14" t="s">
        <v>295</v>
      </c>
      <c r="C14" t="s">
        <v>865</v>
      </c>
      <c r="D14">
        <f t="shared" si="4"/>
        <v>1030</v>
      </c>
      <c r="E14">
        <f t="shared" si="4"/>
        <v>1025</v>
      </c>
      <c r="F14">
        <f t="shared" si="4"/>
        <v>1159</v>
      </c>
      <c r="G14">
        <f t="shared" si="4"/>
        <v>943</v>
      </c>
      <c r="H14">
        <f t="shared" si="4"/>
        <v>1182</v>
      </c>
      <c r="I14">
        <f t="shared" si="4"/>
        <v>1286</v>
      </c>
      <c r="J14">
        <f t="shared" si="4"/>
        <v>1486</v>
      </c>
      <c r="K14">
        <f t="shared" si="4"/>
        <v>1429</v>
      </c>
      <c r="L14">
        <f t="shared" si="4"/>
        <v>956</v>
      </c>
      <c r="M14">
        <f t="shared" si="4"/>
        <v>933</v>
      </c>
      <c r="N14">
        <f t="shared" si="4"/>
        <v>925</v>
      </c>
      <c r="O14" s="363">
        <f t="shared" si="2"/>
        <v>1178.3203995083081</v>
      </c>
      <c r="P14" s="363">
        <f t="shared" si="3"/>
        <v>1186.3296279436959</v>
      </c>
      <c r="Q14" s="363">
        <f t="shared" si="3"/>
        <v>1194.3932963600573</v>
      </c>
      <c r="R14" s="363">
        <f t="shared" si="3"/>
        <v>1202.5117747944755</v>
      </c>
      <c r="S14" s="363">
        <f t="shared" si="3"/>
        <v>1210.685435799234</v>
      </c>
      <c r="T14" s="363">
        <f t="shared" si="3"/>
        <v>1218.9146544589119</v>
      </c>
      <c r="U14" s="363">
        <f t="shared" si="3"/>
        <v>1227.1998084075976</v>
      </c>
      <c r="V14" s="363">
        <f t="shared" si="3"/>
        <v>1235.5412778462171</v>
      </c>
      <c r="W14" s="363">
        <f t="shared" si="3"/>
        <v>1243.939445559982</v>
      </c>
      <c r="X14" s="363">
        <f t="shared" si="3"/>
        <v>1252.3946969359547</v>
      </c>
      <c r="Y14" s="363">
        <f t="shared" si="3"/>
        <v>1260.9074199807342</v>
      </c>
      <c r="Z14" s="363">
        <f t="shared" si="3"/>
        <v>1269.478005338261</v>
      </c>
      <c r="AA14" s="363">
        <f t="shared" si="3"/>
        <v>1278.1068463077434</v>
      </c>
      <c r="AB14" s="363">
        <f t="shared" si="3"/>
        <v>1286.7943388617073</v>
      </c>
      <c r="AC14" s="363">
        <f t="shared" si="3"/>
        <v>1295.5408816641636</v>
      </c>
      <c r="AD14" s="363">
        <f t="shared" si="3"/>
        <v>1304.3468760889075</v>
      </c>
      <c r="AE14" s="363">
        <f t="shared" si="3"/>
        <v>1313.2127262379329</v>
      </c>
      <c r="AF14" s="363">
        <f t="shared" si="3"/>
        <v>1322.1388389599792</v>
      </c>
      <c r="AG14" s="363">
        <f t="shared" si="3"/>
        <v>1331.1256238692001</v>
      </c>
      <c r="AH14" s="363">
        <f t="shared" si="3"/>
        <v>1340.1734933639618</v>
      </c>
      <c r="AI14" s="363">
        <f t="shared" si="3"/>
        <v>1349.2828626457649</v>
      </c>
      <c r="AJ14" s="363">
        <f t="shared" si="3"/>
        <v>1358.4541497383027</v>
      </c>
      <c r="AK14" s="363">
        <f t="shared" si="3"/>
        <v>1367.6877755066371</v>
      </c>
      <c r="AL14" s="363">
        <f t="shared" si="3"/>
        <v>1376.9841636765191</v>
      </c>
      <c r="AM14" s="363">
        <f t="shared" si="3"/>
        <v>1386.3437408538289</v>
      </c>
      <c r="AN14" s="363">
        <f t="shared" si="3"/>
        <v>1395.7669365441534</v>
      </c>
      <c r="AO14" s="363">
        <f t="shared" si="3"/>
        <v>1405.2541831724968</v>
      </c>
      <c r="AP14" s="363">
        <f t="shared" si="3"/>
        <v>1414.8059161031238</v>
      </c>
      <c r="AQ14" s="363">
        <f t="shared" si="3"/>
        <v>1424.4225736595367</v>
      </c>
      <c r="AR14" s="363">
        <f t="shared" si="3"/>
        <v>1434.1045971445951</v>
      </c>
      <c r="AS14" s="363">
        <f t="shared" si="3"/>
        <v>1443.8524308607589</v>
      </c>
      <c r="AT14" s="363">
        <f t="shared" si="3"/>
        <v>1453.6665221304838</v>
      </c>
      <c r="AU14" s="363">
        <f t="shared" si="3"/>
        <v>1463.5473213167465</v>
      </c>
      <c r="AV14" s="363">
        <f t="shared" si="3"/>
        <v>1473.4952818437109</v>
      </c>
    </row>
    <row r="15" spans="1:48" x14ac:dyDescent="0.25">
      <c r="A15" s="350" t="s">
        <v>1452</v>
      </c>
      <c r="B15" t="s">
        <v>229</v>
      </c>
      <c r="C15" t="s">
        <v>865</v>
      </c>
      <c r="D15">
        <f t="shared" si="4"/>
        <v>1160</v>
      </c>
      <c r="E15">
        <f t="shared" si="4"/>
        <v>1203</v>
      </c>
      <c r="F15">
        <f t="shared" si="4"/>
        <v>1132</v>
      </c>
      <c r="G15">
        <f t="shared" si="4"/>
        <v>977</v>
      </c>
      <c r="H15">
        <f t="shared" si="4"/>
        <v>1087</v>
      </c>
      <c r="I15">
        <f t="shared" si="4"/>
        <v>1171</v>
      </c>
      <c r="J15">
        <f t="shared" si="4"/>
        <v>1118</v>
      </c>
      <c r="K15">
        <f t="shared" si="4"/>
        <v>1149</v>
      </c>
      <c r="L15">
        <f t="shared" si="4"/>
        <v>1038</v>
      </c>
      <c r="M15">
        <f t="shared" si="4"/>
        <v>999</v>
      </c>
      <c r="N15">
        <f t="shared" si="4"/>
        <v>992</v>
      </c>
      <c r="O15" s="363">
        <f t="shared" si="2"/>
        <v>1024.6386724981469</v>
      </c>
      <c r="P15" s="363">
        <f t="shared" si="3"/>
        <v>1013.373848784812</v>
      </c>
      <c r="Q15" s="363">
        <f t="shared" si="3"/>
        <v>1002.2328699513342</v>
      </c>
      <c r="R15" s="363">
        <f t="shared" si="3"/>
        <v>991.21437445361346</v>
      </c>
      <c r="S15" s="363">
        <f t="shared" si="3"/>
        <v>980.31701571629378</v>
      </c>
      <c r="T15" s="363">
        <f t="shared" si="3"/>
        <v>969.53946196819788</v>
      </c>
      <c r="U15" s="363">
        <f t="shared" si="3"/>
        <v>958.88039607957069</v>
      </c>
      <c r="V15" s="363">
        <f t="shared" si="3"/>
        <v>948.33851540111277</v>
      </c>
      <c r="W15" s="363">
        <f t="shared" si="3"/>
        <v>937.9125316047822</v>
      </c>
      <c r="X15" s="363">
        <f t="shared" si="3"/>
        <v>927.60117052634871</v>
      </c>
      <c r="Y15" s="363">
        <f t="shared" si="3"/>
        <v>917.40317200967502</v>
      </c>
      <c r="Z15" s="363">
        <f t="shared" si="3"/>
        <v>907.31728975271608</v>
      </c>
      <c r="AA15" s="363">
        <f t="shared" si="3"/>
        <v>897.34229115520441</v>
      </c>
      <c r="AB15" s="363">
        <f t="shared" si="3"/>
        <v>887.4769571680165</v>
      </c>
      <c r="AC15" s="363">
        <f t="shared" si="3"/>
        <v>877.72008214418929</v>
      </c>
      <c r="AD15" s="363">
        <f t="shared" si="3"/>
        <v>868.07047369158022</v>
      </c>
      <c r="AE15" s="363">
        <f t="shared" si="3"/>
        <v>858.52695252714329</v>
      </c>
      <c r="AF15" s="363">
        <f t="shared" si="3"/>
        <v>849.08835233280763</v>
      </c>
      <c r="AG15" s="363">
        <f t="shared" si="3"/>
        <v>839.75351961294234</v>
      </c>
      <c r="AH15" s="363">
        <f t="shared" si="3"/>
        <v>830.52131355338679</v>
      </c>
      <c r="AI15" s="363">
        <f t="shared" si="3"/>
        <v>821.39060588203131</v>
      </c>
      <c r="AJ15" s="363">
        <f t="shared" si="3"/>
        <v>812.36028073093098</v>
      </c>
      <c r="AK15" s="363">
        <f t="shared" si="3"/>
        <v>803.42923449993327</v>
      </c>
      <c r="AL15" s="363">
        <f t="shared" si="3"/>
        <v>794.59637572180861</v>
      </c>
      <c r="AM15" s="363">
        <f t="shared" si="3"/>
        <v>785.86062492886037</v>
      </c>
      <c r="AN15" s="363">
        <f t="shared" si="3"/>
        <v>777.22091452100381</v>
      </c>
      <c r="AO15" s="363">
        <f t="shared" si="3"/>
        <v>768.67618863529231</v>
      </c>
      <c r="AP15" s="363">
        <f t="shared" si="3"/>
        <v>760.22540301688161</v>
      </c>
      <c r="AQ15" s="363">
        <f t="shared" si="3"/>
        <v>751.86752489141065</v>
      </c>
      <c r="AR15" s="363">
        <f t="shared" si="3"/>
        <v>743.60153283878435</v>
      </c>
      <c r="AS15" s="363">
        <f t="shared" si="3"/>
        <v>735.42641666834754</v>
      </c>
      <c r="AT15" s="363">
        <f t="shared" si="3"/>
        <v>727.34117729542754</v>
      </c>
      <c r="AU15" s="363">
        <f t="shared" si="3"/>
        <v>719.3448266192363</v>
      </c>
      <c r="AV15" s="363">
        <f t="shared" si="3"/>
        <v>711.43638740211338</v>
      </c>
    </row>
    <row r="16" spans="1:48" x14ac:dyDescent="0.25">
      <c r="A16" s="350" t="s">
        <v>1453</v>
      </c>
      <c r="B16" t="s">
        <v>295</v>
      </c>
      <c r="C16" t="s">
        <v>865</v>
      </c>
      <c r="D16">
        <f t="shared" si="4"/>
        <v>560</v>
      </c>
      <c r="E16">
        <f t="shared" si="4"/>
        <v>562</v>
      </c>
      <c r="F16">
        <f t="shared" si="4"/>
        <v>547</v>
      </c>
      <c r="G16">
        <f t="shared" si="4"/>
        <v>525</v>
      </c>
      <c r="H16">
        <f t="shared" si="4"/>
        <v>542</v>
      </c>
      <c r="I16">
        <f t="shared" si="4"/>
        <v>538</v>
      </c>
      <c r="J16">
        <f t="shared" si="4"/>
        <v>527</v>
      </c>
      <c r="K16">
        <f t="shared" si="4"/>
        <v>546</v>
      </c>
      <c r="L16">
        <f t="shared" si="4"/>
        <v>459</v>
      </c>
      <c r="M16">
        <f t="shared" si="4"/>
        <v>473</v>
      </c>
      <c r="N16">
        <f t="shared" si="4"/>
        <v>482</v>
      </c>
      <c r="O16" s="363">
        <f t="shared" si="2"/>
        <v>469.16060352470362</v>
      </c>
      <c r="P16" s="363">
        <f t="shared" si="3"/>
        <v>460.86978891153348</v>
      </c>
      <c r="Q16" s="363">
        <f t="shared" si="3"/>
        <v>452.72548618881945</v>
      </c>
      <c r="R16" s="363">
        <f t="shared" si="3"/>
        <v>444.72510625825862</v>
      </c>
      <c r="S16" s="363">
        <f t="shared" si="3"/>
        <v>436.8661057750362</v>
      </c>
      <c r="T16" s="363">
        <f t="shared" si="3"/>
        <v>429.14598633928802</v>
      </c>
      <c r="U16" s="363">
        <f t="shared" si="3"/>
        <v>421.56229370185247</v>
      </c>
      <c r="V16" s="363">
        <f t="shared" si="3"/>
        <v>414.11261698405696</v>
      </c>
      <c r="W16" s="363">
        <f t="shared" si="3"/>
        <v>406.79458791129247</v>
      </c>
      <c r="X16" s="363">
        <f t="shared" si="3"/>
        <v>399.60588006013143</v>
      </c>
      <c r="Y16" s="363">
        <f t="shared" si="3"/>
        <v>392.54420811875144</v>
      </c>
      <c r="Z16" s="363">
        <f t="shared" si="3"/>
        <v>385.60732716042764</v>
      </c>
      <c r="AA16" s="363">
        <f t="shared" si="3"/>
        <v>378.79303192986322</v>
      </c>
      <c r="AB16" s="363">
        <f t="shared" si="3"/>
        <v>372.09915614213253</v>
      </c>
      <c r="AC16" s="363">
        <f t="shared" si="3"/>
        <v>365.52357179401264</v>
      </c>
      <c r="AD16" s="363">
        <f t="shared" si="3"/>
        <v>359.06418848748484</v>
      </c>
      <c r="AE16" s="363">
        <f t="shared" si="3"/>
        <v>352.71895276519052</v>
      </c>
      <c r="AF16" s="363">
        <f t="shared" si="3"/>
        <v>346.48584745763088</v>
      </c>
      <c r="AG16" s="363">
        <f t="shared" si="3"/>
        <v>340.36289104190297</v>
      </c>
      <c r="AH16" s="363">
        <f t="shared" si="3"/>
        <v>334.34813701176739</v>
      </c>
      <c r="AI16" s="363">
        <f t="shared" si="3"/>
        <v>328.4396732588483</v>
      </c>
      <c r="AJ16" s="363">
        <f t="shared" si="3"/>
        <v>322.63562146476818</v>
      </c>
      <c r="AK16" s="363">
        <f t="shared" si="3"/>
        <v>316.93413650402482</v>
      </c>
      <c r="AL16" s="363">
        <f t="shared" si="3"/>
        <v>311.33340585742081</v>
      </c>
      <c r="AM16" s="363">
        <f t="shared" si="3"/>
        <v>305.83164903585759</v>
      </c>
      <c r="AN16" s="363">
        <f t="shared" si="3"/>
        <v>300.42711701431313</v>
      </c>
      <c r="AO16" s="363">
        <f t="shared" si="3"/>
        <v>295.11809167582112</v>
      </c>
      <c r="AP16" s="363">
        <f t="shared" si="3"/>
        <v>289.90288526527701</v>
      </c>
      <c r="AQ16" s="363">
        <f t="shared" si="3"/>
        <v>284.77983985289512</v>
      </c>
      <c r="AR16" s="363">
        <f t="shared" si="3"/>
        <v>279.747326807148</v>
      </c>
      <c r="AS16" s="363">
        <f t="shared" si="3"/>
        <v>274.80374627701974</v>
      </c>
      <c r="AT16" s="363">
        <f t="shared" si="3"/>
        <v>269.94752668340783</v>
      </c>
      <c r="AU16" s="363">
        <f t="shared" si="3"/>
        <v>265.1771242195145</v>
      </c>
      <c r="AV16" s="363">
        <f t="shared" si="3"/>
        <v>260.49102236006496</v>
      </c>
    </row>
    <row r="17" spans="1:48" x14ac:dyDescent="0.25">
      <c r="A17" s="350" t="s">
        <v>1454</v>
      </c>
      <c r="B17" t="s">
        <v>285</v>
      </c>
      <c r="C17" t="s">
        <v>865</v>
      </c>
      <c r="D17">
        <f t="shared" si="4"/>
        <v>0</v>
      </c>
      <c r="E17">
        <f t="shared" si="4"/>
        <v>0</v>
      </c>
      <c r="F17">
        <f t="shared" si="4"/>
        <v>0</v>
      </c>
      <c r="G17">
        <f t="shared" si="4"/>
        <v>0</v>
      </c>
      <c r="H17">
        <f t="shared" si="4"/>
        <v>0</v>
      </c>
      <c r="I17">
        <f t="shared" si="4"/>
        <v>0</v>
      </c>
      <c r="J17">
        <f t="shared" si="4"/>
        <v>0</v>
      </c>
      <c r="K17">
        <f t="shared" si="4"/>
        <v>0</v>
      </c>
      <c r="L17">
        <f t="shared" si="4"/>
        <v>0</v>
      </c>
      <c r="M17">
        <f t="shared" si="4"/>
        <v>0</v>
      </c>
      <c r="N17">
        <f t="shared" si="4"/>
        <v>0</v>
      </c>
      <c r="O17" s="363">
        <f t="shared" si="2"/>
        <v>0</v>
      </c>
      <c r="P17" s="363">
        <f t="shared" si="3"/>
        <v>0</v>
      </c>
      <c r="Q17" s="363">
        <f t="shared" si="3"/>
        <v>0</v>
      </c>
      <c r="R17" s="363">
        <f t="shared" si="3"/>
        <v>0</v>
      </c>
      <c r="S17" s="363">
        <f t="shared" si="3"/>
        <v>0</v>
      </c>
      <c r="T17" s="363">
        <f t="shared" si="3"/>
        <v>0</v>
      </c>
      <c r="U17" s="363">
        <f t="shared" si="3"/>
        <v>0</v>
      </c>
      <c r="V17" s="363">
        <f t="shared" si="3"/>
        <v>0</v>
      </c>
      <c r="W17" s="363">
        <f t="shared" si="3"/>
        <v>0</v>
      </c>
      <c r="X17" s="363">
        <f t="shared" si="3"/>
        <v>0</v>
      </c>
      <c r="Y17" s="363">
        <f t="shared" si="3"/>
        <v>0</v>
      </c>
      <c r="Z17" s="363">
        <f t="shared" si="3"/>
        <v>0</v>
      </c>
      <c r="AA17" s="363">
        <f t="shared" si="3"/>
        <v>0</v>
      </c>
      <c r="AB17" s="363">
        <f t="shared" si="3"/>
        <v>0</v>
      </c>
      <c r="AC17" s="363">
        <f t="shared" si="3"/>
        <v>0</v>
      </c>
      <c r="AD17" s="363">
        <f t="shared" si="3"/>
        <v>0</v>
      </c>
      <c r="AE17" s="363">
        <f t="shared" si="3"/>
        <v>0</v>
      </c>
      <c r="AF17" s="363">
        <f t="shared" si="3"/>
        <v>0</v>
      </c>
      <c r="AG17" s="363">
        <f t="shared" si="3"/>
        <v>0</v>
      </c>
      <c r="AH17" s="363">
        <f t="shared" si="3"/>
        <v>0</v>
      </c>
      <c r="AI17" s="363">
        <f t="shared" si="3"/>
        <v>0</v>
      </c>
      <c r="AJ17" s="363">
        <f t="shared" si="3"/>
        <v>0</v>
      </c>
      <c r="AK17" s="363">
        <f t="shared" si="3"/>
        <v>0</v>
      </c>
      <c r="AL17" s="363">
        <f t="shared" si="3"/>
        <v>0</v>
      </c>
      <c r="AM17" s="363">
        <f t="shared" si="3"/>
        <v>0</v>
      </c>
      <c r="AN17" s="363">
        <f t="shared" si="3"/>
        <v>0</v>
      </c>
      <c r="AO17" s="363">
        <f t="shared" si="3"/>
        <v>0</v>
      </c>
      <c r="AP17" s="363">
        <f t="shared" si="3"/>
        <v>0</v>
      </c>
      <c r="AQ17" s="363">
        <f t="shared" si="3"/>
        <v>0</v>
      </c>
      <c r="AR17" s="363">
        <f t="shared" si="3"/>
        <v>0</v>
      </c>
      <c r="AS17" s="363">
        <f t="shared" si="3"/>
        <v>0</v>
      </c>
      <c r="AT17" s="363">
        <f t="shared" ref="P17:AV25" si="5">IFERROR(IF($N17-$D17&gt;=0,($N17-$D17)/COUNT($E$1:$N$1)+AS17,$F371*$E371^AT$1),0)</f>
        <v>0</v>
      </c>
      <c r="AU17" s="363">
        <f t="shared" si="5"/>
        <v>0</v>
      </c>
      <c r="AV17" s="363">
        <f t="shared" si="5"/>
        <v>0</v>
      </c>
    </row>
    <row r="18" spans="1:48" x14ac:dyDescent="0.25">
      <c r="A18" s="350" t="s">
        <v>1455</v>
      </c>
      <c r="B18" t="s">
        <v>289</v>
      </c>
      <c r="C18" t="s">
        <v>865</v>
      </c>
      <c r="D18">
        <f t="shared" si="4"/>
        <v>0</v>
      </c>
      <c r="E18">
        <f t="shared" si="4"/>
        <v>0</v>
      </c>
      <c r="F18">
        <f t="shared" si="4"/>
        <v>0</v>
      </c>
      <c r="G18">
        <f t="shared" si="4"/>
        <v>0</v>
      </c>
      <c r="H18">
        <f t="shared" si="4"/>
        <v>0</v>
      </c>
      <c r="I18">
        <f t="shared" si="4"/>
        <v>0</v>
      </c>
      <c r="J18">
        <f t="shared" si="4"/>
        <v>0</v>
      </c>
      <c r="K18">
        <f t="shared" si="4"/>
        <v>0</v>
      </c>
      <c r="L18">
        <f t="shared" si="4"/>
        <v>0</v>
      </c>
      <c r="M18">
        <f t="shared" si="4"/>
        <v>0</v>
      </c>
      <c r="N18">
        <f t="shared" si="4"/>
        <v>0</v>
      </c>
      <c r="O18" s="363">
        <f t="shared" si="2"/>
        <v>0</v>
      </c>
      <c r="P18" s="363">
        <f t="shared" si="5"/>
        <v>0</v>
      </c>
      <c r="Q18" s="363">
        <f t="shared" si="5"/>
        <v>0</v>
      </c>
      <c r="R18" s="363">
        <f t="shared" si="5"/>
        <v>0</v>
      </c>
      <c r="S18" s="363">
        <f t="shared" si="5"/>
        <v>0</v>
      </c>
      <c r="T18" s="363">
        <f t="shared" si="5"/>
        <v>0</v>
      </c>
      <c r="U18" s="363">
        <f t="shared" si="5"/>
        <v>0</v>
      </c>
      <c r="V18" s="363">
        <f t="shared" si="5"/>
        <v>0</v>
      </c>
      <c r="W18" s="363">
        <f t="shared" si="5"/>
        <v>0</v>
      </c>
      <c r="X18" s="363">
        <f t="shared" si="5"/>
        <v>0</v>
      </c>
      <c r="Y18" s="363">
        <f t="shared" si="5"/>
        <v>0</v>
      </c>
      <c r="Z18" s="363">
        <f t="shared" si="5"/>
        <v>0</v>
      </c>
      <c r="AA18" s="363">
        <f t="shared" si="5"/>
        <v>0</v>
      </c>
      <c r="AB18" s="363">
        <f t="shared" si="5"/>
        <v>0</v>
      </c>
      <c r="AC18" s="363">
        <f t="shared" si="5"/>
        <v>0</v>
      </c>
      <c r="AD18" s="363">
        <f t="shared" si="5"/>
        <v>0</v>
      </c>
      <c r="AE18" s="363">
        <f t="shared" si="5"/>
        <v>0</v>
      </c>
      <c r="AF18" s="363">
        <f t="shared" si="5"/>
        <v>0</v>
      </c>
      <c r="AG18" s="363">
        <f t="shared" si="5"/>
        <v>0</v>
      </c>
      <c r="AH18" s="363">
        <f t="shared" si="5"/>
        <v>0</v>
      </c>
      <c r="AI18" s="363">
        <f t="shared" si="5"/>
        <v>0</v>
      </c>
      <c r="AJ18" s="363">
        <f t="shared" si="5"/>
        <v>0</v>
      </c>
      <c r="AK18" s="363">
        <f t="shared" si="5"/>
        <v>0</v>
      </c>
      <c r="AL18" s="363">
        <f t="shared" si="5"/>
        <v>0</v>
      </c>
      <c r="AM18" s="363">
        <f t="shared" si="5"/>
        <v>0</v>
      </c>
      <c r="AN18" s="363">
        <f t="shared" si="5"/>
        <v>0</v>
      </c>
      <c r="AO18" s="363">
        <f t="shared" si="5"/>
        <v>0</v>
      </c>
      <c r="AP18" s="363">
        <f t="shared" si="5"/>
        <v>0</v>
      </c>
      <c r="AQ18" s="363">
        <f t="shared" si="5"/>
        <v>0</v>
      </c>
      <c r="AR18" s="363">
        <f t="shared" si="5"/>
        <v>0</v>
      </c>
      <c r="AS18" s="363">
        <f t="shared" si="5"/>
        <v>0</v>
      </c>
      <c r="AT18" s="363">
        <f t="shared" si="5"/>
        <v>0</v>
      </c>
      <c r="AU18" s="363">
        <f t="shared" si="5"/>
        <v>0</v>
      </c>
      <c r="AV18" s="363">
        <f t="shared" si="5"/>
        <v>0</v>
      </c>
    </row>
    <row r="19" spans="1:48" x14ac:dyDescent="0.25">
      <c r="A19" s="350" t="s">
        <v>1456</v>
      </c>
      <c r="B19" t="s">
        <v>289</v>
      </c>
      <c r="C19" t="s">
        <v>865</v>
      </c>
      <c r="D19">
        <f t="shared" si="4"/>
        <v>0</v>
      </c>
      <c r="E19">
        <f t="shared" si="4"/>
        <v>0</v>
      </c>
      <c r="F19">
        <f t="shared" si="4"/>
        <v>0</v>
      </c>
      <c r="G19">
        <f t="shared" si="4"/>
        <v>0</v>
      </c>
      <c r="H19">
        <f t="shared" si="4"/>
        <v>0</v>
      </c>
      <c r="I19">
        <f t="shared" si="4"/>
        <v>0</v>
      </c>
      <c r="J19">
        <f t="shared" si="4"/>
        <v>0</v>
      </c>
      <c r="K19">
        <f t="shared" si="4"/>
        <v>0</v>
      </c>
      <c r="L19">
        <f t="shared" si="4"/>
        <v>0</v>
      </c>
      <c r="M19">
        <f t="shared" si="4"/>
        <v>0</v>
      </c>
      <c r="N19">
        <f t="shared" si="4"/>
        <v>0</v>
      </c>
      <c r="O19" s="363">
        <f t="shared" si="2"/>
        <v>0</v>
      </c>
      <c r="P19" s="363">
        <f t="shared" si="5"/>
        <v>0</v>
      </c>
      <c r="Q19" s="363">
        <f t="shared" si="5"/>
        <v>0</v>
      </c>
      <c r="R19" s="363">
        <f t="shared" si="5"/>
        <v>0</v>
      </c>
      <c r="S19" s="363">
        <f t="shared" si="5"/>
        <v>0</v>
      </c>
      <c r="T19" s="363">
        <f t="shared" si="5"/>
        <v>0</v>
      </c>
      <c r="U19" s="363">
        <f t="shared" si="5"/>
        <v>0</v>
      </c>
      <c r="V19" s="363">
        <f t="shared" si="5"/>
        <v>0</v>
      </c>
      <c r="W19" s="363">
        <f t="shared" si="5"/>
        <v>0</v>
      </c>
      <c r="X19" s="363">
        <f t="shared" si="5"/>
        <v>0</v>
      </c>
      <c r="Y19" s="363">
        <f t="shared" si="5"/>
        <v>0</v>
      </c>
      <c r="Z19" s="363">
        <f t="shared" si="5"/>
        <v>0</v>
      </c>
      <c r="AA19" s="363">
        <f t="shared" si="5"/>
        <v>0</v>
      </c>
      <c r="AB19" s="363">
        <f t="shared" si="5"/>
        <v>0</v>
      </c>
      <c r="AC19" s="363">
        <f t="shared" si="5"/>
        <v>0</v>
      </c>
      <c r="AD19" s="363">
        <f t="shared" si="5"/>
        <v>0</v>
      </c>
      <c r="AE19" s="363">
        <f t="shared" si="5"/>
        <v>0</v>
      </c>
      <c r="AF19" s="363">
        <f t="shared" si="5"/>
        <v>0</v>
      </c>
      <c r="AG19" s="363">
        <f t="shared" si="5"/>
        <v>0</v>
      </c>
      <c r="AH19" s="363">
        <f t="shared" si="5"/>
        <v>0</v>
      </c>
      <c r="AI19" s="363">
        <f t="shared" si="5"/>
        <v>0</v>
      </c>
      <c r="AJ19" s="363">
        <f t="shared" si="5"/>
        <v>0</v>
      </c>
      <c r="AK19" s="363">
        <f t="shared" si="5"/>
        <v>0</v>
      </c>
      <c r="AL19" s="363">
        <f t="shared" si="5"/>
        <v>0</v>
      </c>
      <c r="AM19" s="363">
        <f t="shared" si="5"/>
        <v>0</v>
      </c>
      <c r="AN19" s="363">
        <f t="shared" si="5"/>
        <v>0</v>
      </c>
      <c r="AO19" s="363">
        <f t="shared" si="5"/>
        <v>0</v>
      </c>
      <c r="AP19" s="363">
        <f t="shared" si="5"/>
        <v>0</v>
      </c>
      <c r="AQ19" s="363">
        <f t="shared" si="5"/>
        <v>0</v>
      </c>
      <c r="AR19" s="363">
        <f t="shared" si="5"/>
        <v>0</v>
      </c>
      <c r="AS19" s="363">
        <f t="shared" si="5"/>
        <v>0</v>
      </c>
      <c r="AT19" s="363">
        <f t="shared" si="5"/>
        <v>0</v>
      </c>
      <c r="AU19" s="363">
        <f t="shared" si="5"/>
        <v>0</v>
      </c>
      <c r="AV19" s="363">
        <f t="shared" si="5"/>
        <v>0</v>
      </c>
    </row>
    <row r="20" spans="1:48" x14ac:dyDescent="0.25">
      <c r="A20" s="352" t="s">
        <v>1732</v>
      </c>
      <c r="B20" t="s">
        <v>295</v>
      </c>
      <c r="C20" t="s">
        <v>865</v>
      </c>
      <c r="D20">
        <f t="shared" si="4"/>
        <v>0</v>
      </c>
      <c r="E20">
        <f t="shared" si="4"/>
        <v>0</v>
      </c>
      <c r="F20">
        <f t="shared" si="4"/>
        <v>0</v>
      </c>
      <c r="G20">
        <f t="shared" si="4"/>
        <v>0</v>
      </c>
      <c r="H20">
        <f t="shared" si="4"/>
        <v>0</v>
      </c>
      <c r="I20">
        <f t="shared" si="4"/>
        <v>0</v>
      </c>
      <c r="J20">
        <f t="shared" si="4"/>
        <v>0</v>
      </c>
      <c r="K20">
        <f t="shared" si="4"/>
        <v>0</v>
      </c>
      <c r="L20">
        <f t="shared" si="4"/>
        <v>0</v>
      </c>
      <c r="M20">
        <f t="shared" si="4"/>
        <v>0</v>
      </c>
      <c r="N20">
        <f t="shared" si="4"/>
        <v>0</v>
      </c>
      <c r="O20" s="363">
        <f t="shared" si="2"/>
        <v>0</v>
      </c>
      <c r="P20" s="363">
        <f t="shared" si="5"/>
        <v>0</v>
      </c>
      <c r="Q20" s="363">
        <f t="shared" si="5"/>
        <v>0</v>
      </c>
      <c r="R20" s="363">
        <f t="shared" si="5"/>
        <v>0</v>
      </c>
      <c r="S20" s="363">
        <f t="shared" si="5"/>
        <v>0</v>
      </c>
      <c r="T20" s="363">
        <f t="shared" si="5"/>
        <v>0</v>
      </c>
      <c r="U20" s="363">
        <f t="shared" si="5"/>
        <v>0</v>
      </c>
      <c r="V20" s="363">
        <f t="shared" si="5"/>
        <v>0</v>
      </c>
      <c r="W20" s="363">
        <f t="shared" si="5"/>
        <v>0</v>
      </c>
      <c r="X20" s="363">
        <f t="shared" si="5"/>
        <v>0</v>
      </c>
      <c r="Y20" s="363">
        <f t="shared" si="5"/>
        <v>0</v>
      </c>
      <c r="Z20" s="363">
        <f t="shared" si="5"/>
        <v>0</v>
      </c>
      <c r="AA20" s="363">
        <f t="shared" si="5"/>
        <v>0</v>
      </c>
      <c r="AB20" s="363">
        <f t="shared" si="5"/>
        <v>0</v>
      </c>
      <c r="AC20" s="363">
        <f t="shared" si="5"/>
        <v>0</v>
      </c>
      <c r="AD20" s="363">
        <f t="shared" si="5"/>
        <v>0</v>
      </c>
      <c r="AE20" s="363">
        <f t="shared" si="5"/>
        <v>0</v>
      </c>
      <c r="AF20" s="363">
        <f t="shared" si="5"/>
        <v>0</v>
      </c>
      <c r="AG20" s="363">
        <f t="shared" si="5"/>
        <v>0</v>
      </c>
      <c r="AH20" s="363">
        <f t="shared" si="5"/>
        <v>0</v>
      </c>
      <c r="AI20" s="363">
        <f t="shared" si="5"/>
        <v>0</v>
      </c>
      <c r="AJ20" s="363">
        <f t="shared" si="5"/>
        <v>0</v>
      </c>
      <c r="AK20" s="363">
        <f t="shared" si="5"/>
        <v>0</v>
      </c>
      <c r="AL20" s="363">
        <f t="shared" si="5"/>
        <v>0</v>
      </c>
      <c r="AM20" s="363">
        <f t="shared" si="5"/>
        <v>0</v>
      </c>
      <c r="AN20" s="363">
        <f t="shared" si="5"/>
        <v>0</v>
      </c>
      <c r="AO20" s="363">
        <f t="shared" si="5"/>
        <v>0</v>
      </c>
      <c r="AP20" s="363">
        <f t="shared" si="5"/>
        <v>0</v>
      </c>
      <c r="AQ20" s="363">
        <f t="shared" si="5"/>
        <v>0</v>
      </c>
      <c r="AR20" s="363">
        <f t="shared" si="5"/>
        <v>0</v>
      </c>
      <c r="AS20" s="363">
        <f t="shared" si="5"/>
        <v>0</v>
      </c>
      <c r="AT20" s="363">
        <f t="shared" si="5"/>
        <v>0</v>
      </c>
      <c r="AU20" s="363">
        <f t="shared" si="5"/>
        <v>0</v>
      </c>
      <c r="AV20" s="363">
        <f t="shared" si="5"/>
        <v>0</v>
      </c>
    </row>
    <row r="21" spans="1:48" x14ac:dyDescent="0.25">
      <c r="A21" s="354" t="s">
        <v>1718</v>
      </c>
      <c r="B21" t="s">
        <v>1461</v>
      </c>
      <c r="C21" t="s">
        <v>865</v>
      </c>
      <c r="D21">
        <f t="shared" si="4"/>
        <v>7284</v>
      </c>
      <c r="E21">
        <f t="shared" si="4"/>
        <v>7365</v>
      </c>
      <c r="F21">
        <f t="shared" si="4"/>
        <v>5885</v>
      </c>
      <c r="G21">
        <f t="shared" si="4"/>
        <v>7583</v>
      </c>
      <c r="H21">
        <f t="shared" si="4"/>
        <v>9560</v>
      </c>
      <c r="I21">
        <f t="shared" si="4"/>
        <v>9335</v>
      </c>
      <c r="J21">
        <f t="shared" si="4"/>
        <v>8022</v>
      </c>
      <c r="K21">
        <f t="shared" si="4"/>
        <v>10414</v>
      </c>
      <c r="L21">
        <f t="shared" si="4"/>
        <v>11811</v>
      </c>
      <c r="M21">
        <f t="shared" si="4"/>
        <v>11236</v>
      </c>
      <c r="N21">
        <f t="shared" si="4"/>
        <v>10986</v>
      </c>
      <c r="O21" s="363">
        <f t="shared" si="2"/>
        <v>11356.2</v>
      </c>
      <c r="P21" s="363">
        <f t="shared" si="5"/>
        <v>11726.400000000001</v>
      </c>
      <c r="Q21" s="363">
        <f t="shared" si="5"/>
        <v>12096.600000000002</v>
      </c>
      <c r="R21" s="363">
        <f t="shared" si="5"/>
        <v>12466.800000000003</v>
      </c>
      <c r="S21" s="363">
        <f t="shared" si="5"/>
        <v>12837.000000000004</v>
      </c>
      <c r="T21" s="363">
        <f t="shared" si="5"/>
        <v>13207.200000000004</v>
      </c>
      <c r="U21" s="363">
        <f t="shared" si="5"/>
        <v>13577.400000000005</v>
      </c>
      <c r="V21" s="363">
        <f t="shared" si="5"/>
        <v>13947.600000000006</v>
      </c>
      <c r="W21" s="363">
        <f t="shared" si="5"/>
        <v>14317.800000000007</v>
      </c>
      <c r="X21" s="363">
        <f t="shared" si="5"/>
        <v>14688.000000000007</v>
      </c>
      <c r="Y21" s="363">
        <f t="shared" si="5"/>
        <v>15058.200000000008</v>
      </c>
      <c r="Z21" s="363">
        <f t="shared" si="5"/>
        <v>15428.400000000009</v>
      </c>
      <c r="AA21" s="363">
        <f t="shared" si="5"/>
        <v>15798.600000000009</v>
      </c>
      <c r="AB21" s="363">
        <f t="shared" si="5"/>
        <v>16168.80000000001</v>
      </c>
      <c r="AC21" s="363">
        <f t="shared" si="5"/>
        <v>16539.000000000011</v>
      </c>
      <c r="AD21" s="363">
        <f t="shared" si="5"/>
        <v>16909.200000000012</v>
      </c>
      <c r="AE21" s="363">
        <f t="shared" si="5"/>
        <v>17279.400000000012</v>
      </c>
      <c r="AF21" s="363">
        <f t="shared" si="5"/>
        <v>17649.600000000013</v>
      </c>
      <c r="AG21" s="363">
        <f t="shared" si="5"/>
        <v>18019.800000000014</v>
      </c>
      <c r="AH21" s="363">
        <f t="shared" si="5"/>
        <v>18390.000000000015</v>
      </c>
      <c r="AI21" s="363">
        <f t="shared" si="5"/>
        <v>18760.200000000015</v>
      </c>
      <c r="AJ21" s="363">
        <f t="shared" si="5"/>
        <v>19130.400000000016</v>
      </c>
      <c r="AK21" s="363">
        <f t="shared" si="5"/>
        <v>19500.600000000017</v>
      </c>
      <c r="AL21" s="363">
        <f t="shared" si="5"/>
        <v>19870.800000000017</v>
      </c>
      <c r="AM21" s="363">
        <f t="shared" si="5"/>
        <v>20241.000000000018</v>
      </c>
      <c r="AN21" s="363">
        <f t="shared" si="5"/>
        <v>20611.200000000019</v>
      </c>
      <c r="AO21" s="363">
        <f t="shared" si="5"/>
        <v>20981.40000000002</v>
      </c>
      <c r="AP21" s="363">
        <f t="shared" si="5"/>
        <v>21351.60000000002</v>
      </c>
      <c r="AQ21" s="363">
        <f t="shared" si="5"/>
        <v>21721.800000000021</v>
      </c>
      <c r="AR21" s="363">
        <f t="shared" si="5"/>
        <v>22092.000000000022</v>
      </c>
      <c r="AS21" s="363">
        <f t="shared" si="5"/>
        <v>22462.200000000023</v>
      </c>
      <c r="AT21" s="363">
        <f t="shared" si="5"/>
        <v>22832.400000000023</v>
      </c>
      <c r="AU21" s="363">
        <f t="shared" si="5"/>
        <v>23202.600000000024</v>
      </c>
      <c r="AV21" s="363">
        <f t="shared" si="5"/>
        <v>23572.800000000025</v>
      </c>
    </row>
    <row r="22" spans="1:48" x14ac:dyDescent="0.25">
      <c r="A22" s="350" t="s">
        <v>1719</v>
      </c>
      <c r="B22" t="s">
        <v>295</v>
      </c>
      <c r="C22" t="s">
        <v>865</v>
      </c>
      <c r="D22">
        <f t="shared" si="4"/>
        <v>3656</v>
      </c>
      <c r="E22">
        <f t="shared" si="4"/>
        <v>3757</v>
      </c>
      <c r="F22">
        <f t="shared" si="4"/>
        <v>3613</v>
      </c>
      <c r="G22">
        <f t="shared" si="4"/>
        <v>3555</v>
      </c>
      <c r="H22">
        <f t="shared" si="4"/>
        <v>3778</v>
      </c>
      <c r="I22">
        <f t="shared" si="4"/>
        <v>4097</v>
      </c>
      <c r="J22">
        <f t="shared" si="4"/>
        <v>4267</v>
      </c>
      <c r="K22">
        <f t="shared" si="4"/>
        <v>4504</v>
      </c>
      <c r="L22">
        <f t="shared" si="4"/>
        <v>4781</v>
      </c>
      <c r="M22">
        <f t="shared" si="4"/>
        <v>5032</v>
      </c>
      <c r="N22">
        <f t="shared" si="4"/>
        <v>5098</v>
      </c>
      <c r="O22" s="363">
        <f t="shared" si="2"/>
        <v>5242.2</v>
      </c>
      <c r="P22" s="363">
        <f t="shared" si="5"/>
        <v>5386.4</v>
      </c>
      <c r="Q22" s="363">
        <f t="shared" si="5"/>
        <v>5530.5999999999995</v>
      </c>
      <c r="R22" s="363">
        <f t="shared" si="5"/>
        <v>5674.7999999999993</v>
      </c>
      <c r="S22" s="363">
        <f t="shared" si="5"/>
        <v>5818.9999999999991</v>
      </c>
      <c r="T22" s="363">
        <f t="shared" si="5"/>
        <v>5963.1999999999989</v>
      </c>
      <c r="U22" s="363">
        <f t="shared" si="5"/>
        <v>6107.3999999999987</v>
      </c>
      <c r="V22" s="363">
        <f t="shared" si="5"/>
        <v>6251.5999999999985</v>
      </c>
      <c r="W22" s="363">
        <f t="shared" si="5"/>
        <v>6395.7999999999984</v>
      </c>
      <c r="X22" s="363">
        <f t="shared" si="5"/>
        <v>6539.9999999999982</v>
      </c>
      <c r="Y22" s="363">
        <f t="shared" si="5"/>
        <v>6684.199999999998</v>
      </c>
      <c r="Z22" s="363">
        <f t="shared" si="5"/>
        <v>6828.3999999999978</v>
      </c>
      <c r="AA22" s="363">
        <f t="shared" si="5"/>
        <v>6972.5999999999976</v>
      </c>
      <c r="AB22" s="363">
        <f t="shared" si="5"/>
        <v>7116.7999999999975</v>
      </c>
      <c r="AC22" s="363">
        <f t="shared" si="5"/>
        <v>7260.9999999999973</v>
      </c>
      <c r="AD22" s="363">
        <f t="shared" si="5"/>
        <v>7405.1999999999971</v>
      </c>
      <c r="AE22" s="363">
        <f t="shared" si="5"/>
        <v>7549.3999999999969</v>
      </c>
      <c r="AF22" s="363">
        <f t="shared" si="5"/>
        <v>7693.5999999999967</v>
      </c>
      <c r="AG22" s="363">
        <f t="shared" si="5"/>
        <v>7837.7999999999965</v>
      </c>
      <c r="AH22" s="363">
        <f t="shared" si="5"/>
        <v>7981.9999999999964</v>
      </c>
      <c r="AI22" s="363">
        <f t="shared" si="5"/>
        <v>8126.1999999999962</v>
      </c>
      <c r="AJ22" s="363">
        <f t="shared" si="5"/>
        <v>8270.399999999996</v>
      </c>
      <c r="AK22" s="363">
        <f t="shared" si="5"/>
        <v>8414.5999999999967</v>
      </c>
      <c r="AL22" s="363">
        <f t="shared" si="5"/>
        <v>8558.7999999999975</v>
      </c>
      <c r="AM22" s="363">
        <f t="shared" si="5"/>
        <v>8702.9999999999982</v>
      </c>
      <c r="AN22" s="363">
        <f t="shared" si="5"/>
        <v>8847.1999999999989</v>
      </c>
      <c r="AO22" s="363">
        <f t="shared" si="5"/>
        <v>8991.4</v>
      </c>
      <c r="AP22" s="363">
        <f t="shared" si="5"/>
        <v>9135.6</v>
      </c>
      <c r="AQ22" s="363">
        <f t="shared" si="5"/>
        <v>9279.8000000000011</v>
      </c>
      <c r="AR22" s="363">
        <f t="shared" si="5"/>
        <v>9424.0000000000018</v>
      </c>
      <c r="AS22" s="363">
        <f t="shared" si="5"/>
        <v>9568.2000000000025</v>
      </c>
      <c r="AT22" s="363">
        <f t="shared" si="5"/>
        <v>9712.4000000000033</v>
      </c>
      <c r="AU22" s="363">
        <f t="shared" si="5"/>
        <v>9856.600000000004</v>
      </c>
      <c r="AV22" s="363">
        <f t="shared" si="5"/>
        <v>10000.800000000005</v>
      </c>
    </row>
    <row r="23" spans="1:48" s="103" customFormat="1" x14ac:dyDescent="0.25">
      <c r="A23" s="353" t="s">
        <v>1720</v>
      </c>
      <c r="B23" s="103" t="s">
        <v>1734</v>
      </c>
      <c r="C23" s="103" t="s">
        <v>865</v>
      </c>
      <c r="D23" s="103">
        <f t="shared" si="4"/>
        <v>12528</v>
      </c>
      <c r="E23" s="103">
        <f t="shared" si="4"/>
        <v>12733</v>
      </c>
      <c r="F23" s="103">
        <f t="shared" si="4"/>
        <v>11892</v>
      </c>
      <c r="G23" s="103">
        <f t="shared" si="4"/>
        <v>11318</v>
      </c>
      <c r="H23" s="103">
        <f t="shared" si="4"/>
        <v>11047</v>
      </c>
      <c r="I23" s="103">
        <f t="shared" si="4"/>
        <v>10564</v>
      </c>
      <c r="J23" s="103">
        <f t="shared" si="4"/>
        <v>10379</v>
      </c>
      <c r="K23" s="103">
        <f t="shared" si="4"/>
        <v>10398</v>
      </c>
      <c r="L23" s="103">
        <f t="shared" si="4"/>
        <v>10608</v>
      </c>
      <c r="M23" s="103">
        <f t="shared" si="4"/>
        <v>10676</v>
      </c>
      <c r="N23" s="103">
        <f t="shared" si="4"/>
        <v>10676</v>
      </c>
      <c r="O23" s="363">
        <f t="shared" si="2"/>
        <v>9669.6998181992094</v>
      </c>
      <c r="P23" s="363">
        <f t="shared" si="5"/>
        <v>9455.6422781039055</v>
      </c>
      <c r="Q23" s="363">
        <f t="shared" si="5"/>
        <v>9246.323316385713</v>
      </c>
      <c r="R23" s="363">
        <f t="shared" si="5"/>
        <v>9041.6380354314624</v>
      </c>
      <c r="S23" s="363">
        <f t="shared" si="5"/>
        <v>8841.4838597398939</v>
      </c>
      <c r="T23" s="363">
        <f t="shared" si="5"/>
        <v>8645.7604845171991</v>
      </c>
      <c r="U23" s="363">
        <f t="shared" si="5"/>
        <v>8454.3698254105147</v>
      </c>
      <c r="V23" s="363">
        <f t="shared" si="5"/>
        <v>8267.2159693541689</v>
      </c>
      <c r="W23" s="363">
        <f t="shared" si="5"/>
        <v>8084.2051265040218</v>
      </c>
      <c r="X23" s="363">
        <f t="shared" si="5"/>
        <v>7905.2455832358492</v>
      </c>
      <c r="Y23" s="363">
        <f t="shared" si="5"/>
        <v>7730.2476561841822</v>
      </c>
      <c r="Z23" s="363">
        <f t="shared" si="5"/>
        <v>7559.1236472986193</v>
      </c>
      <c r="AA23" s="363">
        <f t="shared" si="5"/>
        <v>7391.7877998950007</v>
      </c>
      <c r="AB23" s="363">
        <f t="shared" si="5"/>
        <v>7228.1562556795316</v>
      </c>
      <c r="AC23" s="363">
        <f t="shared" si="5"/>
        <v>7068.1470127242137</v>
      </c>
      <c r="AD23" s="363">
        <f t="shared" si="5"/>
        <v>6911.6798843726046</v>
      </c>
      <c r="AE23" s="363">
        <f t="shared" si="5"/>
        <v>6758.6764590552602</v>
      </c>
      <c r="AF23" s="363">
        <f t="shared" si="5"/>
        <v>6609.0600609947442</v>
      </c>
      <c r="AG23" s="363">
        <f t="shared" si="5"/>
        <v>6462.75571178051</v>
      </c>
      <c r="AH23" s="363">
        <f t="shared" si="5"/>
        <v>6319.6900927943925</v>
      </c>
      <c r="AI23" s="363">
        <f t="shared" si="5"/>
        <v>6179.7915084678998</v>
      </c>
      <c r="AJ23" s="363">
        <f t="shared" si="5"/>
        <v>6042.9898503528466</v>
      </c>
      <c r="AK23" s="363">
        <f t="shared" si="5"/>
        <v>5909.2165619873867</v>
      </c>
      <c r="AL23" s="363">
        <f t="shared" si="5"/>
        <v>5778.4046045397763</v>
      </c>
      <c r="AM23" s="363">
        <f t="shared" si="5"/>
        <v>5650.4884232127024</v>
      </c>
      <c r="AN23" s="363">
        <f t="shared" si="5"/>
        <v>5525.4039143912942</v>
      </c>
      <c r="AO23" s="363">
        <f t="shared" si="5"/>
        <v>5403.0883935184038</v>
      </c>
      <c r="AP23" s="363">
        <f t="shared" si="5"/>
        <v>5283.4805636809906</v>
      </c>
      <c r="AQ23" s="363">
        <f t="shared" si="5"/>
        <v>5166.5204848919557</v>
      </c>
      <c r="AR23" s="363">
        <f t="shared" si="5"/>
        <v>5052.1495440519411</v>
      </c>
      <c r="AS23" s="363">
        <f t="shared" si="5"/>
        <v>4940.3104255761036</v>
      </c>
      <c r="AT23" s="363">
        <f t="shared" si="5"/>
        <v>4830.9470826711176</v>
      </c>
      <c r="AU23" s="363">
        <f t="shared" si="5"/>
        <v>4724.0047092480163</v>
      </c>
      <c r="AV23" s="363">
        <f t="shared" si="5"/>
        <v>4619.4297124567956</v>
      </c>
    </row>
    <row r="24" spans="1:48" x14ac:dyDescent="0.25">
      <c r="A24" s="350" t="s">
        <v>1721</v>
      </c>
      <c r="B24" t="s">
        <v>295</v>
      </c>
      <c r="C24" t="s">
        <v>865</v>
      </c>
      <c r="D24">
        <f t="shared" si="4"/>
        <v>4220</v>
      </c>
      <c r="E24">
        <f t="shared" si="4"/>
        <v>4464</v>
      </c>
      <c r="F24">
        <f t="shared" si="4"/>
        <v>5025</v>
      </c>
      <c r="G24">
        <f t="shared" si="4"/>
        <v>3669</v>
      </c>
      <c r="H24">
        <f t="shared" si="4"/>
        <v>4784</v>
      </c>
      <c r="I24">
        <f t="shared" si="4"/>
        <v>3873</v>
      </c>
      <c r="J24">
        <f t="shared" si="4"/>
        <v>5978</v>
      </c>
      <c r="K24">
        <f t="shared" si="4"/>
        <v>3907</v>
      </c>
      <c r="L24">
        <f t="shared" si="4"/>
        <v>3609</v>
      </c>
      <c r="M24">
        <f t="shared" si="4"/>
        <v>3810</v>
      </c>
      <c r="N24">
        <f t="shared" si="4"/>
        <v>3863</v>
      </c>
      <c r="O24" s="363">
        <f t="shared" si="2"/>
        <v>3892.610646648091</v>
      </c>
      <c r="P24" s="363">
        <f t="shared" si="5"/>
        <v>3836.0942117480117</v>
      </c>
      <c r="Q24" s="363">
        <f t="shared" si="5"/>
        <v>3780.3983334624413</v>
      </c>
      <c r="R24" s="363">
        <f t="shared" si="5"/>
        <v>3725.511098209804</v>
      </c>
      <c r="S24" s="363">
        <f t="shared" si="5"/>
        <v>3671.4207653806516</v>
      </c>
      <c r="T24" s="363">
        <f t="shared" si="5"/>
        <v>3618.1157648263043</v>
      </c>
      <c r="U24" s="363">
        <f t="shared" si="5"/>
        <v>3565.5846943839438</v>
      </c>
      <c r="V24" s="363">
        <f t="shared" si="5"/>
        <v>3513.8163174376409</v>
      </c>
      <c r="W24" s="363">
        <f t="shared" si="5"/>
        <v>3462.7995605148021</v>
      </c>
      <c r="X24" s="363">
        <f t="shared" si="5"/>
        <v>3412.5235109175023</v>
      </c>
      <c r="Y24" s="363">
        <f t="shared" si="5"/>
        <v>3362.977414388215</v>
      </c>
      <c r="Z24" s="363">
        <f t="shared" si="5"/>
        <v>3314.1506728094319</v>
      </c>
      <c r="AA24" s="363">
        <f t="shared" si="5"/>
        <v>3266.0328419366797</v>
      </c>
      <c r="AB24" s="363">
        <f t="shared" si="5"/>
        <v>3218.6136291644539</v>
      </c>
      <c r="AC24" s="363">
        <f t="shared" si="5"/>
        <v>3171.8828913245889</v>
      </c>
      <c r="AD24" s="363">
        <f t="shared" si="5"/>
        <v>3125.8306325165877</v>
      </c>
      <c r="AE24" s="363">
        <f t="shared" si="5"/>
        <v>3080.4470019694586</v>
      </c>
      <c r="AF24" s="363">
        <f t="shared" si="5"/>
        <v>3035.7222919345973</v>
      </c>
      <c r="AG24" s="363">
        <f t="shared" si="5"/>
        <v>2991.6469356092539</v>
      </c>
      <c r="AH24" s="363">
        <f t="shared" si="5"/>
        <v>2948.2115050901562</v>
      </c>
      <c r="AI24" s="363">
        <f t="shared" si="5"/>
        <v>2905.4067093568433</v>
      </c>
      <c r="AJ24" s="363">
        <f t="shared" si="5"/>
        <v>2863.2233922842724</v>
      </c>
      <c r="AK24" s="363">
        <f t="shared" si="5"/>
        <v>2821.6525306842932</v>
      </c>
      <c r="AL24" s="363">
        <f t="shared" si="5"/>
        <v>2780.6852323755393</v>
      </c>
      <c r="AM24" s="363">
        <f t="shared" si="5"/>
        <v>2740.3127342813655</v>
      </c>
      <c r="AN24" s="363">
        <f t="shared" si="5"/>
        <v>2700.5264005553786</v>
      </c>
      <c r="AO24" s="363">
        <f t="shared" si="5"/>
        <v>2661.3177207342005</v>
      </c>
      <c r="AP24" s="363">
        <f t="shared" si="5"/>
        <v>2622.6783079170418</v>
      </c>
      <c r="AQ24" s="363">
        <f t="shared" si="5"/>
        <v>2584.5998969717102</v>
      </c>
      <c r="AR24" s="363">
        <f t="shared" si="5"/>
        <v>2547.074342766658</v>
      </c>
      <c r="AS24" s="363">
        <f t="shared" si="5"/>
        <v>2510.0936184287161</v>
      </c>
      <c r="AT24" s="363">
        <f t="shared" si="5"/>
        <v>2473.6498136260998</v>
      </c>
      <c r="AU24" s="363">
        <f t="shared" si="5"/>
        <v>2437.735132876363</v>
      </c>
      <c r="AV24" s="363">
        <f t="shared" si="5"/>
        <v>2402.3418938789109</v>
      </c>
    </row>
    <row r="25" spans="1:48" x14ac:dyDescent="0.25">
      <c r="A25" s="350" t="s">
        <v>1723</v>
      </c>
      <c r="B25" t="s">
        <v>295</v>
      </c>
      <c r="C25" t="s">
        <v>865</v>
      </c>
      <c r="D25">
        <f t="shared" si="4"/>
        <v>2050</v>
      </c>
      <c r="E25">
        <f t="shared" si="4"/>
        <v>1536</v>
      </c>
      <c r="F25">
        <f t="shared" si="4"/>
        <v>1523</v>
      </c>
      <c r="G25">
        <f t="shared" si="4"/>
        <v>1045</v>
      </c>
      <c r="H25">
        <f t="shared" si="4"/>
        <v>1481</v>
      </c>
      <c r="I25">
        <f t="shared" si="4"/>
        <v>1299</v>
      </c>
      <c r="J25">
        <f t="shared" si="4"/>
        <v>1248</v>
      </c>
      <c r="K25">
        <f t="shared" si="4"/>
        <v>1317</v>
      </c>
      <c r="L25">
        <f t="shared" si="4"/>
        <v>1336</v>
      </c>
      <c r="M25">
        <f t="shared" si="4"/>
        <v>1299</v>
      </c>
      <c r="N25">
        <f t="shared" si="4"/>
        <v>1243</v>
      </c>
      <c r="O25" s="363">
        <f t="shared" si="2"/>
        <v>1125.6745700838551</v>
      </c>
      <c r="P25" s="363">
        <f t="shared" si="5"/>
        <v>1089.3785270005701</v>
      </c>
      <c r="Q25" s="363">
        <f t="shared" si="5"/>
        <v>1054.2528068316649</v>
      </c>
      <c r="R25" s="363">
        <f t="shared" si="5"/>
        <v>1020.2596739010827</v>
      </c>
      <c r="S25" s="363">
        <f t="shared" si="5"/>
        <v>987.36260927494175</v>
      </c>
      <c r="T25" s="363">
        <f t="shared" si="5"/>
        <v>955.52627152912385</v>
      </c>
      <c r="U25" s="363">
        <f t="shared" si="5"/>
        <v>924.71645878186791</v>
      </c>
      <c r="V25" s="363">
        <f t="shared" si="5"/>
        <v>894.9000719505749</v>
      </c>
      <c r="W25" s="363">
        <f t="shared" si="5"/>
        <v>866.04507919335776</v>
      </c>
      <c r="X25" s="363">
        <f t="shared" si="5"/>
        <v>838.12048149712712</v>
      </c>
      <c r="Y25" s="363">
        <f t="shared" si="5"/>
        <v>811.09627937524999</v>
      </c>
      <c r="Z25" s="363">
        <f t="shared" si="5"/>
        <v>784.94344063900371</v>
      </c>
      <c r="AA25" s="363">
        <f t="shared" si="5"/>
        <v>759.6338692082013</v>
      </c>
      <c r="AB25" s="363">
        <f t="shared" si="5"/>
        <v>735.14037492747889</v>
      </c>
      <c r="AC25" s="363">
        <f t="shared" si="5"/>
        <v>711.43664435582502</v>
      </c>
      <c r="AD25" s="363">
        <f t="shared" si="5"/>
        <v>688.49721249796301</v>
      </c>
      <c r="AE25" s="363">
        <f t="shared" si="5"/>
        <v>666.29743544722442</v>
      </c>
      <c r="AF25" s="363">
        <f t="shared" si="5"/>
        <v>644.81346391051864</v>
      </c>
      <c r="AG25" s="363">
        <f t="shared" si="5"/>
        <v>624.02221758696078</v>
      </c>
      <c r="AH25" s="363">
        <f t="shared" si="5"/>
        <v>603.90136037262755</v>
      </c>
      <c r="AI25" s="363">
        <f t="shared" si="5"/>
        <v>584.42927636480749</v>
      </c>
      <c r="AJ25" s="363">
        <f t="shared" si="5"/>
        <v>565.58504663996803</v>
      </c>
      <c r="AK25" s="363">
        <f t="shared" ref="P25:AV33" si="6">IFERROR(IF($N25-$D25&gt;=0,($N25-$D25)/COUNT($E$1:$N$1)+AJ25,$F379*$E379^AK$1),0)</f>
        <v>547.34842678048528</v>
      </c>
      <c r="AL25" s="363">
        <f t="shared" si="6"/>
        <v>529.69982512600097</v>
      </c>
      <c r="AM25" s="363">
        <f t="shared" si="6"/>
        <v>512.620281726038</v>
      </c>
      <c r="AN25" s="363">
        <f t="shared" si="6"/>
        <v>496.09144797126288</v>
      </c>
      <c r="AO25" s="363">
        <f t="shared" si="6"/>
        <v>480.09556688151531</v>
      </c>
      <c r="AP25" s="363">
        <f t="shared" si="6"/>
        <v>464.61545402942551</v>
      </c>
      <c r="AQ25" s="363">
        <f t="shared" si="6"/>
        <v>449.63447907912899</v>
      </c>
      <c r="AR25" s="363">
        <f t="shared" si="6"/>
        <v>435.13654792024096</v>
      </c>
      <c r="AS25" s="363">
        <f t="shared" si="6"/>
        <v>421.10608537790199</v>
      </c>
      <c r="AT25" s="363">
        <f t="shared" si="6"/>
        <v>407.52801848031618</v>
      </c>
      <c r="AU25" s="363">
        <f t="shared" si="6"/>
        <v>394.38776026580797</v>
      </c>
      <c r="AV25" s="363">
        <f t="shared" si="6"/>
        <v>381.67119411200235</v>
      </c>
    </row>
    <row r="26" spans="1:48" x14ac:dyDescent="0.25">
      <c r="A26" s="350" t="s">
        <v>1439</v>
      </c>
      <c r="B26" t="s">
        <v>1460</v>
      </c>
      <c r="C26" t="s">
        <v>874</v>
      </c>
      <c r="D26">
        <f t="shared" ref="D26:N35" si="7">IFERROR(INDEX($B$212:$AB$230,MATCH($A26,$A$212:$A$230,0),MATCH(D$1,$B$176:$AB$176,0)),0)</f>
        <v>261</v>
      </c>
      <c r="E26">
        <f t="shared" si="7"/>
        <v>254</v>
      </c>
      <c r="F26">
        <f t="shared" si="7"/>
        <v>253</v>
      </c>
      <c r="G26">
        <f t="shared" si="7"/>
        <v>254</v>
      </c>
      <c r="H26">
        <f t="shared" si="7"/>
        <v>263</v>
      </c>
      <c r="I26">
        <f t="shared" si="7"/>
        <v>257</v>
      </c>
      <c r="J26">
        <f t="shared" si="7"/>
        <v>249</v>
      </c>
      <c r="K26">
        <f t="shared" si="7"/>
        <v>249</v>
      </c>
      <c r="L26">
        <f t="shared" si="7"/>
        <v>253</v>
      </c>
      <c r="M26">
        <f t="shared" si="7"/>
        <v>256</v>
      </c>
      <c r="N26">
        <f t="shared" si="7"/>
        <v>268</v>
      </c>
      <c r="O26" s="363">
        <f t="shared" si="2"/>
        <v>268.7</v>
      </c>
      <c r="P26" s="363">
        <f t="shared" si="6"/>
        <v>269.39999999999998</v>
      </c>
      <c r="Q26" s="363">
        <f t="shared" si="6"/>
        <v>270.09999999999997</v>
      </c>
      <c r="R26" s="363">
        <f t="shared" si="6"/>
        <v>270.79999999999995</v>
      </c>
      <c r="S26" s="363">
        <f t="shared" si="6"/>
        <v>271.49999999999994</v>
      </c>
      <c r="T26" s="363">
        <f t="shared" si="6"/>
        <v>272.19999999999993</v>
      </c>
      <c r="U26" s="363">
        <f t="shared" si="6"/>
        <v>272.89999999999992</v>
      </c>
      <c r="V26" s="363">
        <f t="shared" si="6"/>
        <v>273.59999999999991</v>
      </c>
      <c r="W26" s="363">
        <f t="shared" si="6"/>
        <v>274.2999999999999</v>
      </c>
      <c r="X26" s="363">
        <f t="shared" si="6"/>
        <v>274.99999999999989</v>
      </c>
      <c r="Y26" s="363">
        <f t="shared" si="6"/>
        <v>275.69999999999987</v>
      </c>
      <c r="Z26" s="363">
        <f t="shared" si="6"/>
        <v>276.39999999999986</v>
      </c>
      <c r="AA26" s="363">
        <f t="shared" si="6"/>
        <v>277.09999999999985</v>
      </c>
      <c r="AB26" s="363">
        <f t="shared" si="6"/>
        <v>277.79999999999984</v>
      </c>
      <c r="AC26" s="363">
        <f t="shared" si="6"/>
        <v>278.49999999999983</v>
      </c>
      <c r="AD26" s="363">
        <f t="shared" si="6"/>
        <v>279.19999999999982</v>
      </c>
      <c r="AE26" s="363">
        <f t="shared" si="6"/>
        <v>279.89999999999981</v>
      </c>
      <c r="AF26" s="363">
        <f t="shared" si="6"/>
        <v>280.5999999999998</v>
      </c>
      <c r="AG26" s="363">
        <f t="shared" si="6"/>
        <v>281.29999999999978</v>
      </c>
      <c r="AH26" s="363">
        <f t="shared" si="6"/>
        <v>281.99999999999977</v>
      </c>
      <c r="AI26" s="363">
        <f t="shared" si="6"/>
        <v>282.69999999999976</v>
      </c>
      <c r="AJ26" s="363">
        <f t="shared" si="6"/>
        <v>283.39999999999975</v>
      </c>
      <c r="AK26" s="363">
        <f t="shared" si="6"/>
        <v>284.09999999999974</v>
      </c>
      <c r="AL26" s="363">
        <f t="shared" si="6"/>
        <v>284.79999999999973</v>
      </c>
      <c r="AM26" s="363">
        <f t="shared" si="6"/>
        <v>285.49999999999972</v>
      </c>
      <c r="AN26" s="363">
        <f t="shared" si="6"/>
        <v>286.1999999999997</v>
      </c>
      <c r="AO26" s="363">
        <f t="shared" si="6"/>
        <v>286.89999999999969</v>
      </c>
      <c r="AP26" s="363">
        <f t="shared" si="6"/>
        <v>287.59999999999968</v>
      </c>
      <c r="AQ26" s="363">
        <f t="shared" si="6"/>
        <v>288.29999999999967</v>
      </c>
      <c r="AR26" s="363">
        <f t="shared" si="6"/>
        <v>288.99999999999966</v>
      </c>
      <c r="AS26" s="363">
        <f t="shared" si="6"/>
        <v>289.69999999999965</v>
      </c>
      <c r="AT26" s="363">
        <f t="shared" si="6"/>
        <v>290.39999999999964</v>
      </c>
      <c r="AU26" s="363">
        <f t="shared" si="6"/>
        <v>291.09999999999962</v>
      </c>
      <c r="AV26" s="363">
        <f t="shared" si="6"/>
        <v>291.79999999999961</v>
      </c>
    </row>
    <row r="27" spans="1:48" x14ac:dyDescent="0.25">
      <c r="A27" s="350" t="s">
        <v>1440</v>
      </c>
      <c r="B27" t="s">
        <v>229</v>
      </c>
      <c r="C27" t="s">
        <v>874</v>
      </c>
      <c r="D27">
        <f t="shared" si="7"/>
        <v>0</v>
      </c>
      <c r="E27">
        <f t="shared" si="7"/>
        <v>0</v>
      </c>
      <c r="F27">
        <f t="shared" si="7"/>
        <v>0</v>
      </c>
      <c r="G27">
        <f t="shared" si="7"/>
        <v>0</v>
      </c>
      <c r="H27">
        <f t="shared" si="7"/>
        <v>0</v>
      </c>
      <c r="I27">
        <f t="shared" si="7"/>
        <v>0</v>
      </c>
      <c r="J27">
        <f t="shared" si="7"/>
        <v>0</v>
      </c>
      <c r="K27">
        <f t="shared" si="7"/>
        <v>0</v>
      </c>
      <c r="L27">
        <f t="shared" si="7"/>
        <v>0</v>
      </c>
      <c r="M27">
        <f t="shared" si="7"/>
        <v>0</v>
      </c>
      <c r="N27">
        <f t="shared" si="7"/>
        <v>0</v>
      </c>
      <c r="O27" s="363">
        <f t="shared" si="2"/>
        <v>0</v>
      </c>
      <c r="P27" s="363">
        <f t="shared" si="6"/>
        <v>0</v>
      </c>
      <c r="Q27" s="363">
        <f t="shared" si="6"/>
        <v>0</v>
      </c>
      <c r="R27" s="363">
        <f t="shared" si="6"/>
        <v>0</v>
      </c>
      <c r="S27" s="363">
        <f t="shared" si="6"/>
        <v>0</v>
      </c>
      <c r="T27" s="363">
        <f t="shared" si="6"/>
        <v>0</v>
      </c>
      <c r="U27" s="363">
        <f t="shared" si="6"/>
        <v>0</v>
      </c>
      <c r="V27" s="363">
        <f t="shared" si="6"/>
        <v>0</v>
      </c>
      <c r="W27" s="363">
        <f t="shared" si="6"/>
        <v>0</v>
      </c>
      <c r="X27" s="363">
        <f t="shared" si="6"/>
        <v>0</v>
      </c>
      <c r="Y27" s="363">
        <f t="shared" si="6"/>
        <v>0</v>
      </c>
      <c r="Z27" s="363">
        <f t="shared" si="6"/>
        <v>0</v>
      </c>
      <c r="AA27" s="363">
        <f t="shared" si="6"/>
        <v>0</v>
      </c>
      <c r="AB27" s="363">
        <f t="shared" si="6"/>
        <v>0</v>
      </c>
      <c r="AC27" s="363">
        <f t="shared" si="6"/>
        <v>0</v>
      </c>
      <c r="AD27" s="363">
        <f t="shared" si="6"/>
        <v>0</v>
      </c>
      <c r="AE27" s="363">
        <f t="shared" si="6"/>
        <v>0</v>
      </c>
      <c r="AF27" s="363">
        <f t="shared" si="6"/>
        <v>0</v>
      </c>
      <c r="AG27" s="363">
        <f t="shared" si="6"/>
        <v>0</v>
      </c>
      <c r="AH27" s="363">
        <f t="shared" si="6"/>
        <v>0</v>
      </c>
      <c r="AI27" s="363">
        <f t="shared" si="6"/>
        <v>0</v>
      </c>
      <c r="AJ27" s="363">
        <f t="shared" si="6"/>
        <v>0</v>
      </c>
      <c r="AK27" s="363">
        <f t="shared" si="6"/>
        <v>0</v>
      </c>
      <c r="AL27" s="363">
        <f t="shared" si="6"/>
        <v>0</v>
      </c>
      <c r="AM27" s="363">
        <f t="shared" si="6"/>
        <v>0</v>
      </c>
      <c r="AN27" s="363">
        <f t="shared" si="6"/>
        <v>0</v>
      </c>
      <c r="AO27" s="363">
        <f t="shared" si="6"/>
        <v>0</v>
      </c>
      <c r="AP27" s="363">
        <f t="shared" si="6"/>
        <v>0</v>
      </c>
      <c r="AQ27" s="363">
        <f t="shared" si="6"/>
        <v>0</v>
      </c>
      <c r="AR27" s="363">
        <f t="shared" si="6"/>
        <v>0</v>
      </c>
      <c r="AS27" s="363">
        <f t="shared" si="6"/>
        <v>0</v>
      </c>
      <c r="AT27" s="363">
        <f t="shared" si="6"/>
        <v>0</v>
      </c>
      <c r="AU27" s="363">
        <f t="shared" si="6"/>
        <v>0</v>
      </c>
      <c r="AV27" s="363">
        <f t="shared" si="6"/>
        <v>0</v>
      </c>
    </row>
    <row r="28" spans="1:48" x14ac:dyDescent="0.25">
      <c r="A28" s="351" t="s">
        <v>1725</v>
      </c>
      <c r="B28" t="s">
        <v>295</v>
      </c>
      <c r="C28" t="s">
        <v>874</v>
      </c>
      <c r="D28">
        <f t="shared" si="7"/>
        <v>0</v>
      </c>
      <c r="E28">
        <f t="shared" si="7"/>
        <v>0</v>
      </c>
      <c r="F28">
        <f t="shared" si="7"/>
        <v>0</v>
      </c>
      <c r="G28">
        <f t="shared" si="7"/>
        <v>0</v>
      </c>
      <c r="H28">
        <f t="shared" si="7"/>
        <v>0</v>
      </c>
      <c r="I28">
        <f t="shared" si="7"/>
        <v>0</v>
      </c>
      <c r="J28">
        <f t="shared" si="7"/>
        <v>0</v>
      </c>
      <c r="K28">
        <f t="shared" si="7"/>
        <v>0</v>
      </c>
      <c r="L28">
        <f t="shared" si="7"/>
        <v>0</v>
      </c>
      <c r="M28">
        <f t="shared" si="7"/>
        <v>0</v>
      </c>
      <c r="N28">
        <f t="shared" si="7"/>
        <v>0</v>
      </c>
      <c r="O28" s="363">
        <f t="shared" si="2"/>
        <v>0</v>
      </c>
      <c r="P28" s="363">
        <f t="shared" si="6"/>
        <v>0</v>
      </c>
      <c r="Q28" s="363">
        <f t="shared" si="6"/>
        <v>0</v>
      </c>
      <c r="R28" s="363">
        <f t="shared" si="6"/>
        <v>0</v>
      </c>
      <c r="S28" s="363">
        <f t="shared" si="6"/>
        <v>0</v>
      </c>
      <c r="T28" s="363">
        <f t="shared" si="6"/>
        <v>0</v>
      </c>
      <c r="U28" s="363">
        <f t="shared" si="6"/>
        <v>0</v>
      </c>
      <c r="V28" s="363">
        <f t="shared" si="6"/>
        <v>0</v>
      </c>
      <c r="W28" s="363">
        <f t="shared" si="6"/>
        <v>0</v>
      </c>
      <c r="X28" s="363">
        <f t="shared" si="6"/>
        <v>0</v>
      </c>
      <c r="Y28" s="363">
        <f t="shared" si="6"/>
        <v>0</v>
      </c>
      <c r="Z28" s="363">
        <f t="shared" si="6"/>
        <v>0</v>
      </c>
      <c r="AA28" s="363">
        <f t="shared" si="6"/>
        <v>0</v>
      </c>
      <c r="AB28" s="363">
        <f t="shared" si="6"/>
        <v>0</v>
      </c>
      <c r="AC28" s="363">
        <f t="shared" si="6"/>
        <v>0</v>
      </c>
      <c r="AD28" s="363">
        <f t="shared" si="6"/>
        <v>0</v>
      </c>
      <c r="AE28" s="363">
        <f t="shared" si="6"/>
        <v>0</v>
      </c>
      <c r="AF28" s="363">
        <f t="shared" si="6"/>
        <v>0</v>
      </c>
      <c r="AG28" s="363">
        <f t="shared" si="6"/>
        <v>0</v>
      </c>
      <c r="AH28" s="363">
        <f t="shared" si="6"/>
        <v>0</v>
      </c>
      <c r="AI28" s="363">
        <f t="shared" si="6"/>
        <v>0</v>
      </c>
      <c r="AJ28" s="363">
        <f t="shared" si="6"/>
        <v>0</v>
      </c>
      <c r="AK28" s="363">
        <f t="shared" si="6"/>
        <v>0</v>
      </c>
      <c r="AL28" s="363">
        <f t="shared" si="6"/>
        <v>0</v>
      </c>
      <c r="AM28" s="363">
        <f t="shared" si="6"/>
        <v>0</v>
      </c>
      <c r="AN28" s="363">
        <f t="shared" si="6"/>
        <v>0</v>
      </c>
      <c r="AO28" s="363">
        <f t="shared" si="6"/>
        <v>0</v>
      </c>
      <c r="AP28" s="363">
        <f t="shared" si="6"/>
        <v>0</v>
      </c>
      <c r="AQ28" s="363">
        <f t="shared" si="6"/>
        <v>0</v>
      </c>
      <c r="AR28" s="363">
        <f t="shared" si="6"/>
        <v>0</v>
      </c>
      <c r="AS28" s="363">
        <f t="shared" si="6"/>
        <v>0</v>
      </c>
      <c r="AT28" s="363">
        <f t="shared" si="6"/>
        <v>0</v>
      </c>
      <c r="AU28" s="363">
        <f t="shared" si="6"/>
        <v>0</v>
      </c>
      <c r="AV28" s="363">
        <f t="shared" si="6"/>
        <v>0</v>
      </c>
    </row>
    <row r="29" spans="1:48" x14ac:dyDescent="0.25">
      <c r="A29" s="350" t="s">
        <v>1722</v>
      </c>
      <c r="B29" t="s">
        <v>295</v>
      </c>
      <c r="C29" t="s">
        <v>874</v>
      </c>
      <c r="D29">
        <f t="shared" si="7"/>
        <v>0</v>
      </c>
      <c r="E29">
        <f t="shared" si="7"/>
        <v>0</v>
      </c>
      <c r="F29">
        <f t="shared" si="7"/>
        <v>0</v>
      </c>
      <c r="G29">
        <f t="shared" si="7"/>
        <v>0</v>
      </c>
      <c r="H29">
        <f t="shared" si="7"/>
        <v>0</v>
      </c>
      <c r="I29">
        <f t="shared" si="7"/>
        <v>0</v>
      </c>
      <c r="J29">
        <f t="shared" si="7"/>
        <v>1</v>
      </c>
      <c r="K29">
        <f t="shared" si="7"/>
        <v>0</v>
      </c>
      <c r="L29">
        <f t="shared" si="7"/>
        <v>1</v>
      </c>
      <c r="M29">
        <f t="shared" si="7"/>
        <v>1</v>
      </c>
      <c r="N29">
        <f t="shared" si="7"/>
        <v>1</v>
      </c>
      <c r="O29" s="363">
        <f t="shared" si="2"/>
        <v>1.1000000000000001</v>
      </c>
      <c r="P29" s="363">
        <f t="shared" si="6"/>
        <v>1.2000000000000002</v>
      </c>
      <c r="Q29" s="363">
        <f t="shared" si="6"/>
        <v>1.3000000000000003</v>
      </c>
      <c r="R29" s="363">
        <f t="shared" si="6"/>
        <v>1.4000000000000004</v>
      </c>
      <c r="S29" s="363">
        <f t="shared" si="6"/>
        <v>1.5000000000000004</v>
      </c>
      <c r="T29" s="363">
        <f t="shared" si="6"/>
        <v>1.6000000000000005</v>
      </c>
      <c r="U29" s="363">
        <f t="shared" si="6"/>
        <v>1.7000000000000006</v>
      </c>
      <c r="V29" s="363">
        <f t="shared" si="6"/>
        <v>1.8000000000000007</v>
      </c>
      <c r="W29" s="363">
        <f t="shared" si="6"/>
        <v>1.9000000000000008</v>
      </c>
      <c r="X29" s="363">
        <f t="shared" si="6"/>
        <v>2.0000000000000009</v>
      </c>
      <c r="Y29" s="363">
        <f t="shared" si="6"/>
        <v>2.100000000000001</v>
      </c>
      <c r="Z29" s="363">
        <f t="shared" si="6"/>
        <v>2.2000000000000011</v>
      </c>
      <c r="AA29" s="363">
        <f t="shared" si="6"/>
        <v>2.3000000000000012</v>
      </c>
      <c r="AB29" s="363">
        <f t="shared" si="6"/>
        <v>2.4000000000000012</v>
      </c>
      <c r="AC29" s="363">
        <f t="shared" si="6"/>
        <v>2.5000000000000013</v>
      </c>
      <c r="AD29" s="363">
        <f t="shared" si="6"/>
        <v>2.6000000000000014</v>
      </c>
      <c r="AE29" s="363">
        <f t="shared" si="6"/>
        <v>2.7000000000000015</v>
      </c>
      <c r="AF29" s="363">
        <f t="shared" si="6"/>
        <v>2.8000000000000016</v>
      </c>
      <c r="AG29" s="363">
        <f t="shared" si="6"/>
        <v>2.9000000000000017</v>
      </c>
      <c r="AH29" s="363">
        <f t="shared" si="6"/>
        <v>3.0000000000000018</v>
      </c>
      <c r="AI29" s="363">
        <f t="shared" si="6"/>
        <v>3.1000000000000019</v>
      </c>
      <c r="AJ29" s="363">
        <f t="shared" si="6"/>
        <v>3.200000000000002</v>
      </c>
      <c r="AK29" s="363">
        <f t="shared" si="6"/>
        <v>3.300000000000002</v>
      </c>
      <c r="AL29" s="363">
        <f t="shared" si="6"/>
        <v>3.4000000000000021</v>
      </c>
      <c r="AM29" s="363">
        <f t="shared" si="6"/>
        <v>3.5000000000000022</v>
      </c>
      <c r="AN29" s="363">
        <f t="shared" si="6"/>
        <v>3.6000000000000023</v>
      </c>
      <c r="AO29" s="363">
        <f t="shared" si="6"/>
        <v>3.7000000000000024</v>
      </c>
      <c r="AP29" s="363">
        <f t="shared" si="6"/>
        <v>3.8000000000000025</v>
      </c>
      <c r="AQ29" s="363">
        <f t="shared" si="6"/>
        <v>3.9000000000000026</v>
      </c>
      <c r="AR29" s="363">
        <f t="shared" si="6"/>
        <v>4.0000000000000027</v>
      </c>
      <c r="AS29" s="363">
        <f t="shared" si="6"/>
        <v>4.1000000000000023</v>
      </c>
      <c r="AT29" s="363">
        <f t="shared" si="6"/>
        <v>4.200000000000002</v>
      </c>
      <c r="AU29" s="363">
        <f t="shared" si="6"/>
        <v>4.3000000000000016</v>
      </c>
      <c r="AV29" s="363">
        <f t="shared" si="6"/>
        <v>4.4000000000000012</v>
      </c>
    </row>
    <row r="30" spans="1:48" x14ac:dyDescent="0.25">
      <c r="A30" s="350" t="s">
        <v>1443</v>
      </c>
      <c r="B30" t="s">
        <v>1461</v>
      </c>
      <c r="C30" t="s">
        <v>874</v>
      </c>
      <c r="D30">
        <f t="shared" si="7"/>
        <v>0</v>
      </c>
      <c r="E30">
        <f t="shared" si="7"/>
        <v>0</v>
      </c>
      <c r="F30">
        <f t="shared" si="7"/>
        <v>0</v>
      </c>
      <c r="G30">
        <f t="shared" si="7"/>
        <v>0</v>
      </c>
      <c r="H30">
        <f t="shared" si="7"/>
        <v>0</v>
      </c>
      <c r="I30">
        <f t="shared" si="7"/>
        <v>0</v>
      </c>
      <c r="J30">
        <f t="shared" si="7"/>
        <v>0</v>
      </c>
      <c r="K30">
        <f t="shared" si="7"/>
        <v>0</v>
      </c>
      <c r="L30">
        <f t="shared" si="7"/>
        <v>0</v>
      </c>
      <c r="M30">
        <f t="shared" si="7"/>
        <v>0</v>
      </c>
      <c r="N30">
        <f t="shared" si="7"/>
        <v>0</v>
      </c>
      <c r="O30" s="363">
        <f t="shared" si="2"/>
        <v>0</v>
      </c>
      <c r="P30" s="363">
        <f t="shared" si="6"/>
        <v>0</v>
      </c>
      <c r="Q30" s="363">
        <f t="shared" si="6"/>
        <v>0</v>
      </c>
      <c r="R30" s="363">
        <f t="shared" si="6"/>
        <v>0</v>
      </c>
      <c r="S30" s="363">
        <f t="shared" si="6"/>
        <v>0</v>
      </c>
      <c r="T30" s="363">
        <f t="shared" si="6"/>
        <v>0</v>
      </c>
      <c r="U30" s="363">
        <f t="shared" si="6"/>
        <v>0</v>
      </c>
      <c r="V30" s="363">
        <f t="shared" si="6"/>
        <v>0</v>
      </c>
      <c r="W30" s="363">
        <f t="shared" si="6"/>
        <v>0</v>
      </c>
      <c r="X30" s="363">
        <f t="shared" si="6"/>
        <v>0</v>
      </c>
      <c r="Y30" s="363">
        <f t="shared" si="6"/>
        <v>0</v>
      </c>
      <c r="Z30" s="363">
        <f t="shared" si="6"/>
        <v>0</v>
      </c>
      <c r="AA30" s="363">
        <f t="shared" si="6"/>
        <v>0</v>
      </c>
      <c r="AB30" s="363">
        <f t="shared" si="6"/>
        <v>0</v>
      </c>
      <c r="AC30" s="363">
        <f t="shared" si="6"/>
        <v>0</v>
      </c>
      <c r="AD30" s="363">
        <f t="shared" si="6"/>
        <v>0</v>
      </c>
      <c r="AE30" s="363">
        <f t="shared" si="6"/>
        <v>0</v>
      </c>
      <c r="AF30" s="363">
        <f t="shared" si="6"/>
        <v>0</v>
      </c>
      <c r="AG30" s="363">
        <f t="shared" si="6"/>
        <v>0</v>
      </c>
      <c r="AH30" s="363">
        <f t="shared" si="6"/>
        <v>0</v>
      </c>
      <c r="AI30" s="363">
        <f t="shared" si="6"/>
        <v>0</v>
      </c>
      <c r="AJ30" s="363">
        <f t="shared" si="6"/>
        <v>0</v>
      </c>
      <c r="AK30" s="363">
        <f t="shared" si="6"/>
        <v>0</v>
      </c>
      <c r="AL30" s="363">
        <f t="shared" si="6"/>
        <v>0</v>
      </c>
      <c r="AM30" s="363">
        <f t="shared" si="6"/>
        <v>0</v>
      </c>
      <c r="AN30" s="363">
        <f t="shared" si="6"/>
        <v>0</v>
      </c>
      <c r="AO30" s="363">
        <f t="shared" si="6"/>
        <v>0</v>
      </c>
      <c r="AP30" s="363">
        <f t="shared" si="6"/>
        <v>0</v>
      </c>
      <c r="AQ30" s="363">
        <f t="shared" si="6"/>
        <v>0</v>
      </c>
      <c r="AR30" s="363">
        <f t="shared" si="6"/>
        <v>0</v>
      </c>
      <c r="AS30" s="363">
        <f t="shared" si="6"/>
        <v>0</v>
      </c>
      <c r="AT30" s="363">
        <f t="shared" si="6"/>
        <v>0</v>
      </c>
      <c r="AU30" s="363">
        <f t="shared" si="6"/>
        <v>0</v>
      </c>
      <c r="AV30" s="363">
        <f t="shared" si="6"/>
        <v>0</v>
      </c>
    </row>
    <row r="31" spans="1:48" x14ac:dyDescent="0.25">
      <c r="A31" s="350" t="s">
        <v>1444</v>
      </c>
      <c r="B31" t="s">
        <v>1461</v>
      </c>
      <c r="C31" t="s">
        <v>874</v>
      </c>
      <c r="D31">
        <f t="shared" si="7"/>
        <v>0</v>
      </c>
      <c r="E31">
        <f t="shared" si="7"/>
        <v>0</v>
      </c>
      <c r="F31">
        <f t="shared" si="7"/>
        <v>0</v>
      </c>
      <c r="G31">
        <f t="shared" si="7"/>
        <v>0</v>
      </c>
      <c r="H31">
        <f t="shared" si="7"/>
        <v>0</v>
      </c>
      <c r="I31">
        <f t="shared" si="7"/>
        <v>0</v>
      </c>
      <c r="J31">
        <f t="shared" si="7"/>
        <v>0</v>
      </c>
      <c r="K31">
        <f t="shared" si="7"/>
        <v>0</v>
      </c>
      <c r="L31">
        <f t="shared" si="7"/>
        <v>0</v>
      </c>
      <c r="M31">
        <f t="shared" si="7"/>
        <v>0</v>
      </c>
      <c r="N31">
        <f t="shared" si="7"/>
        <v>0</v>
      </c>
      <c r="O31" s="363">
        <f t="shared" si="2"/>
        <v>0</v>
      </c>
      <c r="P31" s="363">
        <f t="shared" si="6"/>
        <v>0</v>
      </c>
      <c r="Q31" s="363">
        <f t="shared" si="6"/>
        <v>0</v>
      </c>
      <c r="R31" s="363">
        <f t="shared" si="6"/>
        <v>0</v>
      </c>
      <c r="S31" s="363">
        <f t="shared" si="6"/>
        <v>0</v>
      </c>
      <c r="T31" s="363">
        <f t="shared" si="6"/>
        <v>0</v>
      </c>
      <c r="U31" s="363">
        <f t="shared" si="6"/>
        <v>0</v>
      </c>
      <c r="V31" s="363">
        <f t="shared" si="6"/>
        <v>0</v>
      </c>
      <c r="W31" s="363">
        <f t="shared" si="6"/>
        <v>0</v>
      </c>
      <c r="X31" s="363">
        <f t="shared" si="6"/>
        <v>0</v>
      </c>
      <c r="Y31" s="363">
        <f t="shared" si="6"/>
        <v>0</v>
      </c>
      <c r="Z31" s="363">
        <f t="shared" si="6"/>
        <v>0</v>
      </c>
      <c r="AA31" s="363">
        <f t="shared" si="6"/>
        <v>0</v>
      </c>
      <c r="AB31" s="363">
        <f t="shared" si="6"/>
        <v>0</v>
      </c>
      <c r="AC31" s="363">
        <f t="shared" si="6"/>
        <v>0</v>
      </c>
      <c r="AD31" s="363">
        <f t="shared" si="6"/>
        <v>0</v>
      </c>
      <c r="AE31" s="363">
        <f t="shared" si="6"/>
        <v>0</v>
      </c>
      <c r="AF31" s="363">
        <f t="shared" si="6"/>
        <v>0</v>
      </c>
      <c r="AG31" s="363">
        <f t="shared" si="6"/>
        <v>0</v>
      </c>
      <c r="AH31" s="363">
        <f t="shared" si="6"/>
        <v>0</v>
      </c>
      <c r="AI31" s="363">
        <f t="shared" si="6"/>
        <v>0</v>
      </c>
      <c r="AJ31" s="363">
        <f t="shared" si="6"/>
        <v>0</v>
      </c>
      <c r="AK31" s="363">
        <f t="shared" si="6"/>
        <v>0</v>
      </c>
      <c r="AL31" s="363">
        <f t="shared" si="6"/>
        <v>0</v>
      </c>
      <c r="AM31" s="363">
        <f t="shared" si="6"/>
        <v>0</v>
      </c>
      <c r="AN31" s="363">
        <f t="shared" si="6"/>
        <v>0</v>
      </c>
      <c r="AO31" s="363">
        <f t="shared" si="6"/>
        <v>0</v>
      </c>
      <c r="AP31" s="363">
        <f t="shared" si="6"/>
        <v>0</v>
      </c>
      <c r="AQ31" s="363">
        <f t="shared" si="6"/>
        <v>0</v>
      </c>
      <c r="AR31" s="363">
        <f t="shared" si="6"/>
        <v>0</v>
      </c>
      <c r="AS31" s="363">
        <f t="shared" si="6"/>
        <v>0</v>
      </c>
      <c r="AT31" s="363">
        <f t="shared" si="6"/>
        <v>0</v>
      </c>
      <c r="AU31" s="363">
        <f t="shared" si="6"/>
        <v>0</v>
      </c>
      <c r="AV31" s="363">
        <f t="shared" si="6"/>
        <v>0</v>
      </c>
    </row>
    <row r="32" spans="1:48" x14ac:dyDescent="0.25">
      <c r="A32" s="350" t="s">
        <v>1445</v>
      </c>
      <c r="B32" t="s">
        <v>229</v>
      </c>
      <c r="C32" t="s">
        <v>874</v>
      </c>
      <c r="D32">
        <f t="shared" si="7"/>
        <v>0</v>
      </c>
      <c r="E32">
        <f t="shared" si="7"/>
        <v>0</v>
      </c>
      <c r="F32">
        <f t="shared" si="7"/>
        <v>0</v>
      </c>
      <c r="G32">
        <f t="shared" si="7"/>
        <v>0</v>
      </c>
      <c r="H32">
        <f t="shared" si="7"/>
        <v>0</v>
      </c>
      <c r="I32">
        <f t="shared" si="7"/>
        <v>0</v>
      </c>
      <c r="J32">
        <f t="shared" si="7"/>
        <v>0</v>
      </c>
      <c r="K32">
        <f t="shared" si="7"/>
        <v>0</v>
      </c>
      <c r="L32">
        <f t="shared" si="7"/>
        <v>0</v>
      </c>
      <c r="M32">
        <f t="shared" si="7"/>
        <v>0</v>
      </c>
      <c r="N32">
        <f t="shared" si="7"/>
        <v>0</v>
      </c>
      <c r="O32" s="363">
        <f t="shared" si="2"/>
        <v>0</v>
      </c>
      <c r="P32" s="363">
        <f t="shared" si="6"/>
        <v>0</v>
      </c>
      <c r="Q32" s="363">
        <f t="shared" si="6"/>
        <v>0</v>
      </c>
      <c r="R32" s="363">
        <f t="shared" si="6"/>
        <v>0</v>
      </c>
      <c r="S32" s="363">
        <f t="shared" si="6"/>
        <v>0</v>
      </c>
      <c r="T32" s="363">
        <f t="shared" si="6"/>
        <v>0</v>
      </c>
      <c r="U32" s="363">
        <f t="shared" si="6"/>
        <v>0</v>
      </c>
      <c r="V32" s="363">
        <f t="shared" si="6"/>
        <v>0</v>
      </c>
      <c r="W32" s="363">
        <f t="shared" si="6"/>
        <v>0</v>
      </c>
      <c r="X32" s="363">
        <f t="shared" si="6"/>
        <v>0</v>
      </c>
      <c r="Y32" s="363">
        <f t="shared" si="6"/>
        <v>0</v>
      </c>
      <c r="Z32" s="363">
        <f t="shared" si="6"/>
        <v>0</v>
      </c>
      <c r="AA32" s="363">
        <f t="shared" si="6"/>
        <v>0</v>
      </c>
      <c r="AB32" s="363">
        <f t="shared" si="6"/>
        <v>0</v>
      </c>
      <c r="AC32" s="363">
        <f t="shared" si="6"/>
        <v>0</v>
      </c>
      <c r="AD32" s="363">
        <f t="shared" si="6"/>
        <v>0</v>
      </c>
      <c r="AE32" s="363">
        <f t="shared" si="6"/>
        <v>0</v>
      </c>
      <c r="AF32" s="363">
        <f t="shared" si="6"/>
        <v>0</v>
      </c>
      <c r="AG32" s="363">
        <f t="shared" si="6"/>
        <v>0</v>
      </c>
      <c r="AH32" s="363">
        <f t="shared" si="6"/>
        <v>0</v>
      </c>
      <c r="AI32" s="363">
        <f t="shared" si="6"/>
        <v>0</v>
      </c>
      <c r="AJ32" s="363">
        <f t="shared" si="6"/>
        <v>0</v>
      </c>
      <c r="AK32" s="363">
        <f t="shared" si="6"/>
        <v>0</v>
      </c>
      <c r="AL32" s="363">
        <f t="shared" si="6"/>
        <v>0</v>
      </c>
      <c r="AM32" s="363">
        <f t="shared" si="6"/>
        <v>0</v>
      </c>
      <c r="AN32" s="363">
        <f t="shared" si="6"/>
        <v>0</v>
      </c>
      <c r="AO32" s="363">
        <f t="shared" si="6"/>
        <v>0</v>
      </c>
      <c r="AP32" s="363">
        <f t="shared" si="6"/>
        <v>0</v>
      </c>
      <c r="AQ32" s="363">
        <f t="shared" si="6"/>
        <v>0</v>
      </c>
      <c r="AR32" s="363">
        <f t="shared" si="6"/>
        <v>0</v>
      </c>
      <c r="AS32" s="363">
        <f t="shared" si="6"/>
        <v>0</v>
      </c>
      <c r="AT32" s="363">
        <f t="shared" si="6"/>
        <v>0</v>
      </c>
      <c r="AU32" s="363">
        <f t="shared" si="6"/>
        <v>0</v>
      </c>
      <c r="AV32" s="363">
        <f t="shared" si="6"/>
        <v>0</v>
      </c>
    </row>
    <row r="33" spans="1:48" x14ac:dyDescent="0.25">
      <c r="A33" s="351" t="s">
        <v>1724</v>
      </c>
      <c r="B33" t="s">
        <v>295</v>
      </c>
      <c r="C33" t="s">
        <v>874</v>
      </c>
      <c r="D33">
        <f t="shared" si="7"/>
        <v>0</v>
      </c>
      <c r="E33">
        <f t="shared" si="7"/>
        <v>0</v>
      </c>
      <c r="F33">
        <f t="shared" si="7"/>
        <v>0</v>
      </c>
      <c r="G33">
        <f t="shared" si="7"/>
        <v>0</v>
      </c>
      <c r="H33">
        <f t="shared" si="7"/>
        <v>0</v>
      </c>
      <c r="I33">
        <f t="shared" si="7"/>
        <v>0</v>
      </c>
      <c r="J33">
        <f t="shared" si="7"/>
        <v>0</v>
      </c>
      <c r="K33">
        <f t="shared" si="7"/>
        <v>0</v>
      </c>
      <c r="L33">
        <f t="shared" si="7"/>
        <v>0</v>
      </c>
      <c r="M33">
        <f t="shared" si="7"/>
        <v>0</v>
      </c>
      <c r="N33">
        <f t="shared" si="7"/>
        <v>0</v>
      </c>
      <c r="O33" s="363">
        <f t="shared" si="2"/>
        <v>0</v>
      </c>
      <c r="P33" s="363">
        <f t="shared" si="6"/>
        <v>0</v>
      </c>
      <c r="Q33" s="363">
        <f t="shared" si="6"/>
        <v>0</v>
      </c>
      <c r="R33" s="363">
        <f t="shared" si="6"/>
        <v>0</v>
      </c>
      <c r="S33" s="363">
        <f t="shared" si="6"/>
        <v>0</v>
      </c>
      <c r="T33" s="363">
        <f t="shared" si="6"/>
        <v>0</v>
      </c>
      <c r="U33" s="363">
        <f t="shared" si="6"/>
        <v>0</v>
      </c>
      <c r="V33" s="363">
        <f t="shared" si="6"/>
        <v>0</v>
      </c>
      <c r="W33" s="363">
        <f t="shared" si="6"/>
        <v>0</v>
      </c>
      <c r="X33" s="363">
        <f t="shared" si="6"/>
        <v>0</v>
      </c>
      <c r="Y33" s="363">
        <f t="shared" si="6"/>
        <v>0</v>
      </c>
      <c r="Z33" s="363">
        <f t="shared" si="6"/>
        <v>0</v>
      </c>
      <c r="AA33" s="363">
        <f t="shared" si="6"/>
        <v>0</v>
      </c>
      <c r="AB33" s="363">
        <f t="shared" ref="P33:AV41" si="8">IFERROR(IF($N33-$D33&gt;=0,($N33-$D33)/COUNT($E$1:$N$1)+AA33,$F387*$E387^AB$1),0)</f>
        <v>0</v>
      </c>
      <c r="AC33" s="363">
        <f t="shared" si="8"/>
        <v>0</v>
      </c>
      <c r="AD33" s="363">
        <f t="shared" si="8"/>
        <v>0</v>
      </c>
      <c r="AE33" s="363">
        <f t="shared" si="8"/>
        <v>0</v>
      </c>
      <c r="AF33" s="363">
        <f t="shared" si="8"/>
        <v>0</v>
      </c>
      <c r="AG33" s="363">
        <f t="shared" si="8"/>
        <v>0</v>
      </c>
      <c r="AH33" s="363">
        <f t="shared" si="8"/>
        <v>0</v>
      </c>
      <c r="AI33" s="363">
        <f t="shared" si="8"/>
        <v>0</v>
      </c>
      <c r="AJ33" s="363">
        <f t="shared" si="8"/>
        <v>0</v>
      </c>
      <c r="AK33" s="363">
        <f t="shared" si="8"/>
        <v>0</v>
      </c>
      <c r="AL33" s="363">
        <f t="shared" si="8"/>
        <v>0</v>
      </c>
      <c r="AM33" s="363">
        <f t="shared" si="8"/>
        <v>0</v>
      </c>
      <c r="AN33" s="363">
        <f t="shared" si="8"/>
        <v>0</v>
      </c>
      <c r="AO33" s="363">
        <f t="shared" si="8"/>
        <v>0</v>
      </c>
      <c r="AP33" s="363">
        <f t="shared" si="8"/>
        <v>0</v>
      </c>
      <c r="AQ33" s="363">
        <f t="shared" si="8"/>
        <v>0</v>
      </c>
      <c r="AR33" s="363">
        <f t="shared" si="8"/>
        <v>0</v>
      </c>
      <c r="AS33" s="363">
        <f t="shared" si="8"/>
        <v>0</v>
      </c>
      <c r="AT33" s="363">
        <f t="shared" si="8"/>
        <v>0</v>
      </c>
      <c r="AU33" s="363">
        <f t="shared" si="8"/>
        <v>0</v>
      </c>
      <c r="AV33" s="363">
        <f t="shared" si="8"/>
        <v>0</v>
      </c>
    </row>
    <row r="34" spans="1:48" x14ac:dyDescent="0.25">
      <c r="A34" s="350" t="s">
        <v>1447</v>
      </c>
      <c r="B34" t="s">
        <v>229</v>
      </c>
      <c r="C34" t="s">
        <v>874</v>
      </c>
      <c r="D34">
        <f t="shared" si="7"/>
        <v>0</v>
      </c>
      <c r="E34">
        <f t="shared" si="7"/>
        <v>0</v>
      </c>
      <c r="F34">
        <f t="shared" si="7"/>
        <v>0</v>
      </c>
      <c r="G34">
        <f t="shared" si="7"/>
        <v>0</v>
      </c>
      <c r="H34">
        <f t="shared" si="7"/>
        <v>0</v>
      </c>
      <c r="I34">
        <f t="shared" si="7"/>
        <v>0</v>
      </c>
      <c r="J34">
        <f t="shared" si="7"/>
        <v>0</v>
      </c>
      <c r="K34">
        <f t="shared" si="7"/>
        <v>0</v>
      </c>
      <c r="L34">
        <f t="shared" si="7"/>
        <v>0</v>
      </c>
      <c r="M34">
        <f t="shared" si="7"/>
        <v>0</v>
      </c>
      <c r="N34">
        <f t="shared" si="7"/>
        <v>0</v>
      </c>
      <c r="O34" s="363">
        <f t="shared" si="2"/>
        <v>0</v>
      </c>
      <c r="P34" s="363">
        <f t="shared" si="8"/>
        <v>0</v>
      </c>
      <c r="Q34" s="363">
        <f t="shared" si="8"/>
        <v>0</v>
      </c>
      <c r="R34" s="363">
        <f t="shared" si="8"/>
        <v>0</v>
      </c>
      <c r="S34" s="363">
        <f t="shared" si="8"/>
        <v>0</v>
      </c>
      <c r="T34" s="363">
        <f t="shared" si="8"/>
        <v>0</v>
      </c>
      <c r="U34" s="363">
        <f t="shared" si="8"/>
        <v>0</v>
      </c>
      <c r="V34" s="363">
        <f t="shared" si="8"/>
        <v>0</v>
      </c>
      <c r="W34" s="363">
        <f t="shared" si="8"/>
        <v>0</v>
      </c>
      <c r="X34" s="363">
        <f t="shared" si="8"/>
        <v>0</v>
      </c>
      <c r="Y34" s="363">
        <f t="shared" si="8"/>
        <v>0</v>
      </c>
      <c r="Z34" s="363">
        <f t="shared" si="8"/>
        <v>0</v>
      </c>
      <c r="AA34" s="363">
        <f t="shared" si="8"/>
        <v>0</v>
      </c>
      <c r="AB34" s="363">
        <f t="shared" si="8"/>
        <v>0</v>
      </c>
      <c r="AC34" s="363">
        <f t="shared" si="8"/>
        <v>0</v>
      </c>
      <c r="AD34" s="363">
        <f t="shared" si="8"/>
        <v>0</v>
      </c>
      <c r="AE34" s="363">
        <f t="shared" si="8"/>
        <v>0</v>
      </c>
      <c r="AF34" s="363">
        <f t="shared" si="8"/>
        <v>0</v>
      </c>
      <c r="AG34" s="363">
        <f t="shared" si="8"/>
        <v>0</v>
      </c>
      <c r="AH34" s="363">
        <f t="shared" si="8"/>
        <v>0</v>
      </c>
      <c r="AI34" s="363">
        <f t="shared" si="8"/>
        <v>0</v>
      </c>
      <c r="AJ34" s="363">
        <f t="shared" si="8"/>
        <v>0</v>
      </c>
      <c r="AK34" s="363">
        <f t="shared" si="8"/>
        <v>0</v>
      </c>
      <c r="AL34" s="363">
        <f t="shared" si="8"/>
        <v>0</v>
      </c>
      <c r="AM34" s="363">
        <f t="shared" si="8"/>
        <v>0</v>
      </c>
      <c r="AN34" s="363">
        <f t="shared" si="8"/>
        <v>0</v>
      </c>
      <c r="AO34" s="363">
        <f t="shared" si="8"/>
        <v>0</v>
      </c>
      <c r="AP34" s="363">
        <f t="shared" si="8"/>
        <v>0</v>
      </c>
      <c r="AQ34" s="363">
        <f t="shared" si="8"/>
        <v>0</v>
      </c>
      <c r="AR34" s="363">
        <f t="shared" si="8"/>
        <v>0</v>
      </c>
      <c r="AS34" s="363">
        <f t="shared" si="8"/>
        <v>0</v>
      </c>
      <c r="AT34" s="363">
        <f t="shared" si="8"/>
        <v>0</v>
      </c>
      <c r="AU34" s="363">
        <f t="shared" si="8"/>
        <v>0</v>
      </c>
      <c r="AV34" s="363">
        <f t="shared" si="8"/>
        <v>0</v>
      </c>
    </row>
    <row r="35" spans="1:48" x14ac:dyDescent="0.25">
      <c r="A35" s="350" t="s">
        <v>1448</v>
      </c>
      <c r="B35" t="s">
        <v>228</v>
      </c>
      <c r="C35" t="s">
        <v>874</v>
      </c>
      <c r="D35">
        <f t="shared" si="7"/>
        <v>2</v>
      </c>
      <c r="E35">
        <f t="shared" si="7"/>
        <v>2</v>
      </c>
      <c r="F35">
        <f t="shared" si="7"/>
        <v>2</v>
      </c>
      <c r="G35">
        <f t="shared" si="7"/>
        <v>2</v>
      </c>
      <c r="H35">
        <f t="shared" si="7"/>
        <v>2</v>
      </c>
      <c r="I35">
        <f t="shared" si="7"/>
        <v>2</v>
      </c>
      <c r="J35">
        <f t="shared" si="7"/>
        <v>3</v>
      </c>
      <c r="K35">
        <f t="shared" si="7"/>
        <v>3</v>
      </c>
      <c r="L35">
        <f t="shared" si="7"/>
        <v>5</v>
      </c>
      <c r="M35">
        <f t="shared" si="7"/>
        <v>7</v>
      </c>
      <c r="N35">
        <f t="shared" si="7"/>
        <v>10</v>
      </c>
      <c r="O35" s="363">
        <f t="shared" si="2"/>
        <v>10.8</v>
      </c>
      <c r="P35" s="363">
        <f t="shared" si="8"/>
        <v>11.600000000000001</v>
      </c>
      <c r="Q35" s="363">
        <f t="shared" si="8"/>
        <v>12.400000000000002</v>
      </c>
      <c r="R35" s="363">
        <f t="shared" si="8"/>
        <v>13.200000000000003</v>
      </c>
      <c r="S35" s="363">
        <f t="shared" si="8"/>
        <v>14.000000000000004</v>
      </c>
      <c r="T35" s="363">
        <f t="shared" si="8"/>
        <v>14.800000000000004</v>
      </c>
      <c r="U35" s="363">
        <f t="shared" si="8"/>
        <v>15.600000000000005</v>
      </c>
      <c r="V35" s="363">
        <f t="shared" si="8"/>
        <v>16.400000000000006</v>
      </c>
      <c r="W35" s="363">
        <f t="shared" si="8"/>
        <v>17.200000000000006</v>
      </c>
      <c r="X35" s="363">
        <f t="shared" si="8"/>
        <v>18.000000000000007</v>
      </c>
      <c r="Y35" s="363">
        <f t="shared" si="8"/>
        <v>18.800000000000008</v>
      </c>
      <c r="Z35" s="363">
        <f t="shared" si="8"/>
        <v>19.600000000000009</v>
      </c>
      <c r="AA35" s="363">
        <f t="shared" si="8"/>
        <v>20.400000000000009</v>
      </c>
      <c r="AB35" s="363">
        <f t="shared" si="8"/>
        <v>21.20000000000001</v>
      </c>
      <c r="AC35" s="363">
        <f t="shared" si="8"/>
        <v>22.000000000000011</v>
      </c>
      <c r="AD35" s="363">
        <f t="shared" si="8"/>
        <v>22.800000000000011</v>
      </c>
      <c r="AE35" s="363">
        <f t="shared" si="8"/>
        <v>23.600000000000012</v>
      </c>
      <c r="AF35" s="363">
        <f t="shared" si="8"/>
        <v>24.400000000000013</v>
      </c>
      <c r="AG35" s="363">
        <f t="shared" si="8"/>
        <v>25.200000000000014</v>
      </c>
      <c r="AH35" s="363">
        <f t="shared" si="8"/>
        <v>26.000000000000014</v>
      </c>
      <c r="AI35" s="363">
        <f t="shared" si="8"/>
        <v>26.800000000000015</v>
      </c>
      <c r="AJ35" s="363">
        <f t="shared" si="8"/>
        <v>27.600000000000016</v>
      </c>
      <c r="AK35" s="363">
        <f t="shared" si="8"/>
        <v>28.400000000000016</v>
      </c>
      <c r="AL35" s="363">
        <f t="shared" si="8"/>
        <v>29.200000000000017</v>
      </c>
      <c r="AM35" s="363">
        <f t="shared" si="8"/>
        <v>30.000000000000018</v>
      </c>
      <c r="AN35" s="363">
        <f t="shared" si="8"/>
        <v>30.800000000000018</v>
      </c>
      <c r="AO35" s="363">
        <f t="shared" si="8"/>
        <v>31.600000000000019</v>
      </c>
      <c r="AP35" s="363">
        <f t="shared" si="8"/>
        <v>32.40000000000002</v>
      </c>
      <c r="AQ35" s="363">
        <f t="shared" si="8"/>
        <v>33.200000000000017</v>
      </c>
      <c r="AR35" s="363">
        <f t="shared" si="8"/>
        <v>34.000000000000014</v>
      </c>
      <c r="AS35" s="363">
        <f t="shared" si="8"/>
        <v>34.800000000000011</v>
      </c>
      <c r="AT35" s="363">
        <f t="shared" si="8"/>
        <v>35.600000000000009</v>
      </c>
      <c r="AU35" s="363">
        <f t="shared" si="8"/>
        <v>36.400000000000006</v>
      </c>
      <c r="AV35" s="363">
        <f t="shared" si="8"/>
        <v>37.200000000000003</v>
      </c>
    </row>
    <row r="36" spans="1:48" x14ac:dyDescent="0.25">
      <c r="A36" s="350" t="s">
        <v>1449</v>
      </c>
      <c r="B36" t="s">
        <v>295</v>
      </c>
      <c r="C36" t="s">
        <v>874</v>
      </c>
      <c r="D36">
        <f t="shared" ref="D36:N49" si="9">IFERROR(INDEX($B$212:$AB$230,MATCH($A36,$A$212:$A$230,0),MATCH(D$1,$B$176:$AB$176,0)),0)</f>
        <v>0</v>
      </c>
      <c r="E36">
        <f t="shared" si="9"/>
        <v>0</v>
      </c>
      <c r="F36">
        <f t="shared" si="9"/>
        <v>0</v>
      </c>
      <c r="G36">
        <f t="shared" si="9"/>
        <v>0</v>
      </c>
      <c r="H36">
        <f t="shared" si="9"/>
        <v>0</v>
      </c>
      <c r="I36">
        <f t="shared" si="9"/>
        <v>0</v>
      </c>
      <c r="J36">
        <f t="shared" si="9"/>
        <v>0</v>
      </c>
      <c r="K36">
        <f t="shared" si="9"/>
        <v>0</v>
      </c>
      <c r="L36">
        <f t="shared" si="9"/>
        <v>0</v>
      </c>
      <c r="M36">
        <f t="shared" si="9"/>
        <v>0</v>
      </c>
      <c r="N36">
        <f t="shared" si="9"/>
        <v>0</v>
      </c>
      <c r="O36" s="363">
        <f t="shared" si="2"/>
        <v>0</v>
      </c>
      <c r="P36" s="363">
        <f t="shared" si="8"/>
        <v>0</v>
      </c>
      <c r="Q36" s="363">
        <f t="shared" si="8"/>
        <v>0</v>
      </c>
      <c r="R36" s="363">
        <f t="shared" si="8"/>
        <v>0</v>
      </c>
      <c r="S36" s="363">
        <f t="shared" si="8"/>
        <v>0</v>
      </c>
      <c r="T36" s="363">
        <f t="shared" si="8"/>
        <v>0</v>
      </c>
      <c r="U36" s="363">
        <f t="shared" si="8"/>
        <v>0</v>
      </c>
      <c r="V36" s="363">
        <f t="shared" si="8"/>
        <v>0</v>
      </c>
      <c r="W36" s="363">
        <f t="shared" si="8"/>
        <v>0</v>
      </c>
      <c r="X36" s="363">
        <f t="shared" si="8"/>
        <v>0</v>
      </c>
      <c r="Y36" s="363">
        <f t="shared" si="8"/>
        <v>0</v>
      </c>
      <c r="Z36" s="363">
        <f t="shared" si="8"/>
        <v>0</v>
      </c>
      <c r="AA36" s="363">
        <f t="shared" si="8"/>
        <v>0</v>
      </c>
      <c r="AB36" s="363">
        <f t="shared" si="8"/>
        <v>0</v>
      </c>
      <c r="AC36" s="363">
        <f t="shared" si="8"/>
        <v>0</v>
      </c>
      <c r="AD36" s="363">
        <f t="shared" si="8"/>
        <v>0</v>
      </c>
      <c r="AE36" s="363">
        <f t="shared" si="8"/>
        <v>0</v>
      </c>
      <c r="AF36" s="363">
        <f t="shared" si="8"/>
        <v>0</v>
      </c>
      <c r="AG36" s="363">
        <f t="shared" si="8"/>
        <v>0</v>
      </c>
      <c r="AH36" s="363">
        <f t="shared" si="8"/>
        <v>0</v>
      </c>
      <c r="AI36" s="363">
        <f t="shared" si="8"/>
        <v>0</v>
      </c>
      <c r="AJ36" s="363">
        <f t="shared" si="8"/>
        <v>0</v>
      </c>
      <c r="AK36" s="363">
        <f t="shared" si="8"/>
        <v>0</v>
      </c>
      <c r="AL36" s="363">
        <f t="shared" si="8"/>
        <v>0</v>
      </c>
      <c r="AM36" s="363">
        <f t="shared" si="8"/>
        <v>0</v>
      </c>
      <c r="AN36" s="363">
        <f t="shared" si="8"/>
        <v>0</v>
      </c>
      <c r="AO36" s="363">
        <f t="shared" si="8"/>
        <v>0</v>
      </c>
      <c r="AP36" s="363">
        <f t="shared" si="8"/>
        <v>0</v>
      </c>
      <c r="AQ36" s="363">
        <f t="shared" si="8"/>
        <v>0</v>
      </c>
      <c r="AR36" s="363">
        <f t="shared" si="8"/>
        <v>0</v>
      </c>
      <c r="AS36" s="363">
        <f t="shared" si="8"/>
        <v>0</v>
      </c>
      <c r="AT36" s="363">
        <f t="shared" si="8"/>
        <v>0</v>
      </c>
      <c r="AU36" s="363">
        <f t="shared" si="8"/>
        <v>0</v>
      </c>
      <c r="AV36" s="363">
        <f t="shared" si="8"/>
        <v>0</v>
      </c>
    </row>
    <row r="37" spans="1:48" x14ac:dyDescent="0.25">
      <c r="A37" s="350" t="s">
        <v>1450</v>
      </c>
      <c r="B37" t="s">
        <v>295</v>
      </c>
      <c r="C37" t="s">
        <v>874</v>
      </c>
      <c r="D37">
        <f t="shared" si="9"/>
        <v>0</v>
      </c>
      <c r="E37">
        <f t="shared" si="9"/>
        <v>0</v>
      </c>
      <c r="F37">
        <f t="shared" si="9"/>
        <v>0</v>
      </c>
      <c r="G37">
        <f t="shared" si="9"/>
        <v>0</v>
      </c>
      <c r="H37">
        <f t="shared" si="9"/>
        <v>0</v>
      </c>
      <c r="I37">
        <f t="shared" si="9"/>
        <v>0</v>
      </c>
      <c r="J37">
        <f t="shared" si="9"/>
        <v>0</v>
      </c>
      <c r="K37">
        <f t="shared" si="9"/>
        <v>0</v>
      </c>
      <c r="L37">
        <f t="shared" si="9"/>
        <v>0</v>
      </c>
      <c r="M37">
        <f t="shared" si="9"/>
        <v>0</v>
      </c>
      <c r="N37">
        <f t="shared" si="9"/>
        <v>0</v>
      </c>
      <c r="O37" s="363">
        <f t="shared" si="2"/>
        <v>0</v>
      </c>
      <c r="P37" s="363">
        <f t="shared" si="8"/>
        <v>0</v>
      </c>
      <c r="Q37" s="363">
        <f t="shared" si="8"/>
        <v>0</v>
      </c>
      <c r="R37" s="363">
        <f t="shared" si="8"/>
        <v>0</v>
      </c>
      <c r="S37" s="363">
        <f t="shared" si="8"/>
        <v>0</v>
      </c>
      <c r="T37" s="363">
        <f t="shared" si="8"/>
        <v>0</v>
      </c>
      <c r="U37" s="363">
        <f t="shared" si="8"/>
        <v>0</v>
      </c>
      <c r="V37" s="363">
        <f t="shared" si="8"/>
        <v>0</v>
      </c>
      <c r="W37" s="363">
        <f t="shared" si="8"/>
        <v>0</v>
      </c>
      <c r="X37" s="363">
        <f t="shared" si="8"/>
        <v>0</v>
      </c>
      <c r="Y37" s="363">
        <f t="shared" si="8"/>
        <v>0</v>
      </c>
      <c r="Z37" s="363">
        <f t="shared" si="8"/>
        <v>0</v>
      </c>
      <c r="AA37" s="363">
        <f t="shared" si="8"/>
        <v>0</v>
      </c>
      <c r="AB37" s="363">
        <f t="shared" si="8"/>
        <v>0</v>
      </c>
      <c r="AC37" s="363">
        <f t="shared" si="8"/>
        <v>0</v>
      </c>
      <c r="AD37" s="363">
        <f t="shared" si="8"/>
        <v>0</v>
      </c>
      <c r="AE37" s="363">
        <f t="shared" si="8"/>
        <v>0</v>
      </c>
      <c r="AF37" s="363">
        <f t="shared" si="8"/>
        <v>0</v>
      </c>
      <c r="AG37" s="363">
        <f t="shared" si="8"/>
        <v>0</v>
      </c>
      <c r="AH37" s="363">
        <f t="shared" si="8"/>
        <v>0</v>
      </c>
      <c r="AI37" s="363">
        <f t="shared" si="8"/>
        <v>0</v>
      </c>
      <c r="AJ37" s="363">
        <f t="shared" si="8"/>
        <v>0</v>
      </c>
      <c r="AK37" s="363">
        <f t="shared" si="8"/>
        <v>0</v>
      </c>
      <c r="AL37" s="363">
        <f t="shared" si="8"/>
        <v>0</v>
      </c>
      <c r="AM37" s="363">
        <f t="shared" si="8"/>
        <v>0</v>
      </c>
      <c r="AN37" s="363">
        <f t="shared" si="8"/>
        <v>0</v>
      </c>
      <c r="AO37" s="363">
        <f t="shared" si="8"/>
        <v>0</v>
      </c>
      <c r="AP37" s="363">
        <f t="shared" si="8"/>
        <v>0</v>
      </c>
      <c r="AQ37" s="363">
        <f t="shared" si="8"/>
        <v>0</v>
      </c>
      <c r="AR37" s="363">
        <f t="shared" si="8"/>
        <v>0</v>
      </c>
      <c r="AS37" s="363">
        <f t="shared" si="8"/>
        <v>0</v>
      </c>
      <c r="AT37" s="363">
        <f t="shared" si="8"/>
        <v>0</v>
      </c>
      <c r="AU37" s="363">
        <f t="shared" si="8"/>
        <v>0</v>
      </c>
      <c r="AV37" s="363">
        <f t="shared" si="8"/>
        <v>0</v>
      </c>
    </row>
    <row r="38" spans="1:48" x14ac:dyDescent="0.25">
      <c r="A38" s="350" t="s">
        <v>1451</v>
      </c>
      <c r="B38" t="s">
        <v>295</v>
      </c>
      <c r="C38" t="s">
        <v>874</v>
      </c>
      <c r="D38">
        <f t="shared" si="9"/>
        <v>0</v>
      </c>
      <c r="E38">
        <f t="shared" si="9"/>
        <v>0</v>
      </c>
      <c r="F38">
        <f t="shared" si="9"/>
        <v>0</v>
      </c>
      <c r="G38">
        <f t="shared" si="9"/>
        <v>0</v>
      </c>
      <c r="H38">
        <f t="shared" si="9"/>
        <v>0</v>
      </c>
      <c r="I38">
        <f t="shared" si="9"/>
        <v>0</v>
      </c>
      <c r="J38">
        <f t="shared" si="9"/>
        <v>0</v>
      </c>
      <c r="K38">
        <f t="shared" si="9"/>
        <v>0</v>
      </c>
      <c r="L38">
        <f t="shared" si="9"/>
        <v>0</v>
      </c>
      <c r="M38">
        <f t="shared" si="9"/>
        <v>0</v>
      </c>
      <c r="N38">
        <f t="shared" si="9"/>
        <v>0</v>
      </c>
      <c r="O38" s="363">
        <f t="shared" si="2"/>
        <v>0</v>
      </c>
      <c r="P38" s="363">
        <f t="shared" si="8"/>
        <v>0</v>
      </c>
      <c r="Q38" s="363">
        <f t="shared" si="8"/>
        <v>0</v>
      </c>
      <c r="R38" s="363">
        <f t="shared" si="8"/>
        <v>0</v>
      </c>
      <c r="S38" s="363">
        <f t="shared" si="8"/>
        <v>0</v>
      </c>
      <c r="T38" s="363">
        <f t="shared" si="8"/>
        <v>0</v>
      </c>
      <c r="U38" s="363">
        <f t="shared" si="8"/>
        <v>0</v>
      </c>
      <c r="V38" s="363">
        <f t="shared" si="8"/>
        <v>0</v>
      </c>
      <c r="W38" s="363">
        <f t="shared" si="8"/>
        <v>0</v>
      </c>
      <c r="X38" s="363">
        <f t="shared" si="8"/>
        <v>0</v>
      </c>
      <c r="Y38" s="363">
        <f t="shared" si="8"/>
        <v>0</v>
      </c>
      <c r="Z38" s="363">
        <f t="shared" si="8"/>
        <v>0</v>
      </c>
      <c r="AA38" s="363">
        <f t="shared" si="8"/>
        <v>0</v>
      </c>
      <c r="AB38" s="363">
        <f t="shared" si="8"/>
        <v>0</v>
      </c>
      <c r="AC38" s="363">
        <f t="shared" si="8"/>
        <v>0</v>
      </c>
      <c r="AD38" s="363">
        <f t="shared" si="8"/>
        <v>0</v>
      </c>
      <c r="AE38" s="363">
        <f t="shared" si="8"/>
        <v>0</v>
      </c>
      <c r="AF38" s="363">
        <f t="shared" si="8"/>
        <v>0</v>
      </c>
      <c r="AG38" s="363">
        <f t="shared" si="8"/>
        <v>0</v>
      </c>
      <c r="AH38" s="363">
        <f t="shared" si="8"/>
        <v>0</v>
      </c>
      <c r="AI38" s="363">
        <f t="shared" si="8"/>
        <v>0</v>
      </c>
      <c r="AJ38" s="363">
        <f t="shared" si="8"/>
        <v>0</v>
      </c>
      <c r="AK38" s="363">
        <f t="shared" si="8"/>
        <v>0</v>
      </c>
      <c r="AL38" s="363">
        <f t="shared" si="8"/>
        <v>0</v>
      </c>
      <c r="AM38" s="363">
        <f t="shared" si="8"/>
        <v>0</v>
      </c>
      <c r="AN38" s="363">
        <f t="shared" si="8"/>
        <v>0</v>
      </c>
      <c r="AO38" s="363">
        <f t="shared" si="8"/>
        <v>0</v>
      </c>
      <c r="AP38" s="363">
        <f t="shared" si="8"/>
        <v>0</v>
      </c>
      <c r="AQ38" s="363">
        <f t="shared" si="8"/>
        <v>0</v>
      </c>
      <c r="AR38" s="363">
        <f t="shared" si="8"/>
        <v>0</v>
      </c>
      <c r="AS38" s="363">
        <f t="shared" si="8"/>
        <v>0</v>
      </c>
      <c r="AT38" s="363">
        <f t="shared" si="8"/>
        <v>0</v>
      </c>
      <c r="AU38" s="363">
        <f t="shared" si="8"/>
        <v>0</v>
      </c>
      <c r="AV38" s="363">
        <f t="shared" si="8"/>
        <v>0</v>
      </c>
    </row>
    <row r="39" spans="1:48" x14ac:dyDescent="0.25">
      <c r="A39" s="350" t="s">
        <v>1452</v>
      </c>
      <c r="B39" t="s">
        <v>229</v>
      </c>
      <c r="C39" t="s">
        <v>874</v>
      </c>
      <c r="D39">
        <f t="shared" si="9"/>
        <v>0</v>
      </c>
      <c r="E39">
        <f t="shared" si="9"/>
        <v>0</v>
      </c>
      <c r="F39">
        <f t="shared" si="9"/>
        <v>0</v>
      </c>
      <c r="G39">
        <f t="shared" si="9"/>
        <v>0</v>
      </c>
      <c r="H39">
        <f t="shared" si="9"/>
        <v>0</v>
      </c>
      <c r="I39">
        <f t="shared" si="9"/>
        <v>0</v>
      </c>
      <c r="J39">
        <f t="shared" si="9"/>
        <v>0</v>
      </c>
      <c r="K39">
        <f t="shared" si="9"/>
        <v>0</v>
      </c>
      <c r="L39">
        <f t="shared" si="9"/>
        <v>0</v>
      </c>
      <c r="M39">
        <f t="shared" si="9"/>
        <v>0</v>
      </c>
      <c r="N39">
        <f t="shared" si="9"/>
        <v>0</v>
      </c>
      <c r="O39" s="363">
        <f t="shared" si="2"/>
        <v>0</v>
      </c>
      <c r="P39" s="363">
        <f t="shared" si="8"/>
        <v>0</v>
      </c>
      <c r="Q39" s="363">
        <f t="shared" si="8"/>
        <v>0</v>
      </c>
      <c r="R39" s="363">
        <f t="shared" si="8"/>
        <v>0</v>
      </c>
      <c r="S39" s="363">
        <f t="shared" si="8"/>
        <v>0</v>
      </c>
      <c r="T39" s="363">
        <f t="shared" si="8"/>
        <v>0</v>
      </c>
      <c r="U39" s="363">
        <f t="shared" si="8"/>
        <v>0</v>
      </c>
      <c r="V39" s="363">
        <f t="shared" si="8"/>
        <v>0</v>
      </c>
      <c r="W39" s="363">
        <f t="shared" si="8"/>
        <v>0</v>
      </c>
      <c r="X39" s="363">
        <f t="shared" si="8"/>
        <v>0</v>
      </c>
      <c r="Y39" s="363">
        <f t="shared" si="8"/>
        <v>0</v>
      </c>
      <c r="Z39" s="363">
        <f t="shared" si="8"/>
        <v>0</v>
      </c>
      <c r="AA39" s="363">
        <f t="shared" si="8"/>
        <v>0</v>
      </c>
      <c r="AB39" s="363">
        <f t="shared" si="8"/>
        <v>0</v>
      </c>
      <c r="AC39" s="363">
        <f t="shared" si="8"/>
        <v>0</v>
      </c>
      <c r="AD39" s="363">
        <f t="shared" si="8"/>
        <v>0</v>
      </c>
      <c r="AE39" s="363">
        <f t="shared" si="8"/>
        <v>0</v>
      </c>
      <c r="AF39" s="363">
        <f t="shared" si="8"/>
        <v>0</v>
      </c>
      <c r="AG39" s="363">
        <f t="shared" si="8"/>
        <v>0</v>
      </c>
      <c r="AH39" s="363">
        <f t="shared" si="8"/>
        <v>0</v>
      </c>
      <c r="AI39" s="363">
        <f t="shared" si="8"/>
        <v>0</v>
      </c>
      <c r="AJ39" s="363">
        <f t="shared" si="8"/>
        <v>0</v>
      </c>
      <c r="AK39" s="363">
        <f t="shared" si="8"/>
        <v>0</v>
      </c>
      <c r="AL39" s="363">
        <f t="shared" si="8"/>
        <v>0</v>
      </c>
      <c r="AM39" s="363">
        <f t="shared" si="8"/>
        <v>0</v>
      </c>
      <c r="AN39" s="363">
        <f t="shared" si="8"/>
        <v>0</v>
      </c>
      <c r="AO39" s="363">
        <f t="shared" si="8"/>
        <v>0</v>
      </c>
      <c r="AP39" s="363">
        <f t="shared" si="8"/>
        <v>0</v>
      </c>
      <c r="AQ39" s="363">
        <f t="shared" si="8"/>
        <v>0</v>
      </c>
      <c r="AR39" s="363">
        <f t="shared" si="8"/>
        <v>0</v>
      </c>
      <c r="AS39" s="363">
        <f t="shared" si="8"/>
        <v>0</v>
      </c>
      <c r="AT39" s="363">
        <f t="shared" si="8"/>
        <v>0</v>
      </c>
      <c r="AU39" s="363">
        <f t="shared" si="8"/>
        <v>0</v>
      </c>
      <c r="AV39" s="363">
        <f t="shared" si="8"/>
        <v>0</v>
      </c>
    </row>
    <row r="40" spans="1:48" x14ac:dyDescent="0.25">
      <c r="A40" s="350" t="s">
        <v>1453</v>
      </c>
      <c r="B40" t="s">
        <v>295</v>
      </c>
      <c r="C40" t="s">
        <v>874</v>
      </c>
      <c r="D40">
        <f t="shared" si="9"/>
        <v>0</v>
      </c>
      <c r="E40">
        <f t="shared" si="9"/>
        <v>0</v>
      </c>
      <c r="F40">
        <f t="shared" si="9"/>
        <v>0</v>
      </c>
      <c r="G40">
        <f t="shared" si="9"/>
        <v>0</v>
      </c>
      <c r="H40">
        <f t="shared" si="9"/>
        <v>0</v>
      </c>
      <c r="I40">
        <f t="shared" si="9"/>
        <v>0</v>
      </c>
      <c r="J40">
        <f t="shared" si="9"/>
        <v>0</v>
      </c>
      <c r="K40">
        <f t="shared" si="9"/>
        <v>0</v>
      </c>
      <c r="L40">
        <f t="shared" si="9"/>
        <v>0</v>
      </c>
      <c r="M40">
        <f t="shared" si="9"/>
        <v>0</v>
      </c>
      <c r="N40">
        <f t="shared" si="9"/>
        <v>0</v>
      </c>
      <c r="O40" s="363">
        <f t="shared" si="2"/>
        <v>0</v>
      </c>
      <c r="P40" s="363">
        <f t="shared" si="8"/>
        <v>0</v>
      </c>
      <c r="Q40" s="363">
        <f t="shared" si="8"/>
        <v>0</v>
      </c>
      <c r="R40" s="363">
        <f t="shared" si="8"/>
        <v>0</v>
      </c>
      <c r="S40" s="363">
        <f t="shared" si="8"/>
        <v>0</v>
      </c>
      <c r="T40" s="363">
        <f t="shared" si="8"/>
        <v>0</v>
      </c>
      <c r="U40" s="363">
        <f t="shared" si="8"/>
        <v>0</v>
      </c>
      <c r="V40" s="363">
        <f t="shared" si="8"/>
        <v>0</v>
      </c>
      <c r="W40" s="363">
        <f t="shared" si="8"/>
        <v>0</v>
      </c>
      <c r="X40" s="363">
        <f t="shared" si="8"/>
        <v>0</v>
      </c>
      <c r="Y40" s="363">
        <f t="shared" si="8"/>
        <v>0</v>
      </c>
      <c r="Z40" s="363">
        <f t="shared" si="8"/>
        <v>0</v>
      </c>
      <c r="AA40" s="363">
        <f t="shared" si="8"/>
        <v>0</v>
      </c>
      <c r="AB40" s="363">
        <f t="shared" si="8"/>
        <v>0</v>
      </c>
      <c r="AC40" s="363">
        <f t="shared" si="8"/>
        <v>0</v>
      </c>
      <c r="AD40" s="363">
        <f t="shared" si="8"/>
        <v>0</v>
      </c>
      <c r="AE40" s="363">
        <f t="shared" si="8"/>
        <v>0</v>
      </c>
      <c r="AF40" s="363">
        <f t="shared" si="8"/>
        <v>0</v>
      </c>
      <c r="AG40" s="363">
        <f t="shared" si="8"/>
        <v>0</v>
      </c>
      <c r="AH40" s="363">
        <f t="shared" si="8"/>
        <v>0</v>
      </c>
      <c r="AI40" s="363">
        <f t="shared" si="8"/>
        <v>0</v>
      </c>
      <c r="AJ40" s="363">
        <f t="shared" si="8"/>
        <v>0</v>
      </c>
      <c r="AK40" s="363">
        <f t="shared" si="8"/>
        <v>0</v>
      </c>
      <c r="AL40" s="363">
        <f t="shared" si="8"/>
        <v>0</v>
      </c>
      <c r="AM40" s="363">
        <f t="shared" si="8"/>
        <v>0</v>
      </c>
      <c r="AN40" s="363">
        <f t="shared" si="8"/>
        <v>0</v>
      </c>
      <c r="AO40" s="363">
        <f t="shared" si="8"/>
        <v>0</v>
      </c>
      <c r="AP40" s="363">
        <f t="shared" si="8"/>
        <v>0</v>
      </c>
      <c r="AQ40" s="363">
        <f t="shared" si="8"/>
        <v>0</v>
      </c>
      <c r="AR40" s="363">
        <f t="shared" si="8"/>
        <v>0</v>
      </c>
      <c r="AS40" s="363">
        <f t="shared" si="8"/>
        <v>0</v>
      </c>
      <c r="AT40" s="363">
        <f t="shared" si="8"/>
        <v>0</v>
      </c>
      <c r="AU40" s="363">
        <f t="shared" si="8"/>
        <v>0</v>
      </c>
      <c r="AV40" s="363">
        <f t="shared" si="8"/>
        <v>0</v>
      </c>
    </row>
    <row r="41" spans="1:48" x14ac:dyDescent="0.25">
      <c r="A41" s="350" t="s">
        <v>1454</v>
      </c>
      <c r="B41" t="s">
        <v>285</v>
      </c>
      <c r="C41" t="s">
        <v>874</v>
      </c>
      <c r="D41">
        <f t="shared" si="9"/>
        <v>11</v>
      </c>
      <c r="E41">
        <f t="shared" si="9"/>
        <v>11</v>
      </c>
      <c r="F41">
        <f t="shared" si="9"/>
        <v>12</v>
      </c>
      <c r="G41">
        <f t="shared" si="9"/>
        <v>11</v>
      </c>
      <c r="H41">
        <f t="shared" si="9"/>
        <v>11</v>
      </c>
      <c r="I41">
        <f t="shared" si="9"/>
        <v>11</v>
      </c>
      <c r="J41">
        <f t="shared" si="9"/>
        <v>11</v>
      </c>
      <c r="K41">
        <f t="shared" si="9"/>
        <v>11</v>
      </c>
      <c r="L41">
        <f t="shared" si="9"/>
        <v>11</v>
      </c>
      <c r="M41">
        <f t="shared" si="9"/>
        <v>11</v>
      </c>
      <c r="N41">
        <f t="shared" si="9"/>
        <v>11</v>
      </c>
      <c r="O41" s="363">
        <f t="shared" si="2"/>
        <v>11</v>
      </c>
      <c r="P41" s="363">
        <f t="shared" si="8"/>
        <v>11</v>
      </c>
      <c r="Q41" s="363">
        <f t="shared" si="8"/>
        <v>11</v>
      </c>
      <c r="R41" s="363">
        <f t="shared" si="8"/>
        <v>11</v>
      </c>
      <c r="S41" s="363">
        <f t="shared" ref="P41:AV48" si="10">IFERROR(IF($N41-$D41&gt;=0,($N41-$D41)/COUNT($E$1:$N$1)+R41,$F395*$E395^S$1),0)</f>
        <v>11</v>
      </c>
      <c r="T41" s="363">
        <f t="shared" si="10"/>
        <v>11</v>
      </c>
      <c r="U41" s="363">
        <f t="shared" si="10"/>
        <v>11</v>
      </c>
      <c r="V41" s="363">
        <f t="shared" si="10"/>
        <v>11</v>
      </c>
      <c r="W41" s="363">
        <f t="shared" si="10"/>
        <v>11</v>
      </c>
      <c r="X41" s="363">
        <f t="shared" si="10"/>
        <v>11</v>
      </c>
      <c r="Y41" s="363">
        <f t="shared" si="10"/>
        <v>11</v>
      </c>
      <c r="Z41" s="363">
        <f t="shared" si="10"/>
        <v>11</v>
      </c>
      <c r="AA41" s="363">
        <f t="shared" si="10"/>
        <v>11</v>
      </c>
      <c r="AB41" s="363">
        <f t="shared" si="10"/>
        <v>11</v>
      </c>
      <c r="AC41" s="363">
        <f t="shared" si="10"/>
        <v>11</v>
      </c>
      <c r="AD41" s="363">
        <f t="shared" si="10"/>
        <v>11</v>
      </c>
      <c r="AE41" s="363">
        <f t="shared" si="10"/>
        <v>11</v>
      </c>
      <c r="AF41" s="363">
        <f t="shared" si="10"/>
        <v>11</v>
      </c>
      <c r="AG41" s="363">
        <f t="shared" si="10"/>
        <v>11</v>
      </c>
      <c r="AH41" s="363">
        <f t="shared" si="10"/>
        <v>11</v>
      </c>
      <c r="AI41" s="363">
        <f t="shared" si="10"/>
        <v>11</v>
      </c>
      <c r="AJ41" s="363">
        <f t="shared" si="10"/>
        <v>11</v>
      </c>
      <c r="AK41" s="363">
        <f t="shared" si="10"/>
        <v>11</v>
      </c>
      <c r="AL41" s="363">
        <f t="shared" si="10"/>
        <v>11</v>
      </c>
      <c r="AM41" s="363">
        <f t="shared" si="10"/>
        <v>11</v>
      </c>
      <c r="AN41" s="363">
        <f t="shared" si="10"/>
        <v>11</v>
      </c>
      <c r="AO41" s="363">
        <f t="shared" si="10"/>
        <v>11</v>
      </c>
      <c r="AP41" s="363">
        <f t="shared" si="10"/>
        <v>11</v>
      </c>
      <c r="AQ41" s="363">
        <f t="shared" si="10"/>
        <v>11</v>
      </c>
      <c r="AR41" s="363">
        <f t="shared" si="10"/>
        <v>11</v>
      </c>
      <c r="AS41" s="363">
        <f t="shared" si="10"/>
        <v>11</v>
      </c>
      <c r="AT41" s="363">
        <f t="shared" si="10"/>
        <v>11</v>
      </c>
      <c r="AU41" s="363">
        <f t="shared" si="10"/>
        <v>11</v>
      </c>
      <c r="AV41" s="363">
        <f t="shared" si="10"/>
        <v>11</v>
      </c>
    </row>
    <row r="42" spans="1:48" x14ac:dyDescent="0.25">
      <c r="A42" s="350" t="s">
        <v>1455</v>
      </c>
      <c r="B42" t="s">
        <v>289</v>
      </c>
      <c r="C42" t="s">
        <v>874</v>
      </c>
      <c r="D42">
        <f t="shared" si="9"/>
        <v>0</v>
      </c>
      <c r="E42">
        <f t="shared" si="9"/>
        <v>0</v>
      </c>
      <c r="F42">
        <f t="shared" si="9"/>
        <v>0</v>
      </c>
      <c r="G42">
        <f t="shared" si="9"/>
        <v>0</v>
      </c>
      <c r="H42">
        <f t="shared" si="9"/>
        <v>0</v>
      </c>
      <c r="I42">
        <f t="shared" si="9"/>
        <v>0</v>
      </c>
      <c r="J42">
        <f t="shared" si="9"/>
        <v>0</v>
      </c>
      <c r="K42">
        <f t="shared" si="9"/>
        <v>0</v>
      </c>
      <c r="L42">
        <f t="shared" si="9"/>
        <v>0</v>
      </c>
      <c r="M42">
        <f t="shared" si="9"/>
        <v>0</v>
      </c>
      <c r="N42">
        <f t="shared" si="9"/>
        <v>0</v>
      </c>
      <c r="O42" s="363">
        <f t="shared" si="2"/>
        <v>0</v>
      </c>
      <c r="P42" s="363">
        <f t="shared" si="10"/>
        <v>0</v>
      </c>
      <c r="Q42" s="363">
        <f t="shared" si="10"/>
        <v>0</v>
      </c>
      <c r="R42" s="363">
        <f t="shared" si="10"/>
        <v>0</v>
      </c>
      <c r="S42" s="363">
        <f t="shared" si="10"/>
        <v>0</v>
      </c>
      <c r="T42" s="363">
        <f t="shared" si="10"/>
        <v>0</v>
      </c>
      <c r="U42" s="363">
        <f t="shared" si="10"/>
        <v>0</v>
      </c>
      <c r="V42" s="363">
        <f t="shared" si="10"/>
        <v>0</v>
      </c>
      <c r="W42" s="363">
        <f t="shared" si="10"/>
        <v>0</v>
      </c>
      <c r="X42" s="363">
        <f t="shared" si="10"/>
        <v>0</v>
      </c>
      <c r="Y42" s="363">
        <f t="shared" si="10"/>
        <v>0</v>
      </c>
      <c r="Z42" s="363">
        <f t="shared" si="10"/>
        <v>0</v>
      </c>
      <c r="AA42" s="363">
        <f t="shared" si="10"/>
        <v>0</v>
      </c>
      <c r="AB42" s="363">
        <f t="shared" si="10"/>
        <v>0</v>
      </c>
      <c r="AC42" s="363">
        <f t="shared" si="10"/>
        <v>0</v>
      </c>
      <c r="AD42" s="363">
        <f t="shared" si="10"/>
        <v>0</v>
      </c>
      <c r="AE42" s="363">
        <f t="shared" si="10"/>
        <v>0</v>
      </c>
      <c r="AF42" s="363">
        <f t="shared" si="10"/>
        <v>0</v>
      </c>
      <c r="AG42" s="363">
        <f t="shared" si="10"/>
        <v>0</v>
      </c>
      <c r="AH42" s="363">
        <f t="shared" si="10"/>
        <v>0</v>
      </c>
      <c r="AI42" s="363">
        <f t="shared" si="10"/>
        <v>0</v>
      </c>
      <c r="AJ42" s="363">
        <f t="shared" si="10"/>
        <v>0</v>
      </c>
      <c r="AK42" s="363">
        <f t="shared" si="10"/>
        <v>0</v>
      </c>
      <c r="AL42" s="363">
        <f t="shared" si="10"/>
        <v>0</v>
      </c>
      <c r="AM42" s="363">
        <f t="shared" si="10"/>
        <v>0</v>
      </c>
      <c r="AN42" s="363">
        <f t="shared" si="10"/>
        <v>0</v>
      </c>
      <c r="AO42" s="363">
        <f t="shared" si="10"/>
        <v>0</v>
      </c>
      <c r="AP42" s="363">
        <f t="shared" si="10"/>
        <v>0</v>
      </c>
      <c r="AQ42" s="363">
        <f t="shared" si="10"/>
        <v>0</v>
      </c>
      <c r="AR42" s="363">
        <f t="shared" si="10"/>
        <v>0</v>
      </c>
      <c r="AS42" s="363">
        <f t="shared" si="10"/>
        <v>0</v>
      </c>
      <c r="AT42" s="363">
        <f t="shared" si="10"/>
        <v>0</v>
      </c>
      <c r="AU42" s="363">
        <f t="shared" si="10"/>
        <v>0</v>
      </c>
      <c r="AV42" s="363">
        <f t="shared" si="10"/>
        <v>0</v>
      </c>
    </row>
    <row r="43" spans="1:48" x14ac:dyDescent="0.25">
      <c r="A43" s="350" t="s">
        <v>1456</v>
      </c>
      <c r="B43" t="s">
        <v>289</v>
      </c>
      <c r="C43" t="s">
        <v>874</v>
      </c>
      <c r="D43">
        <f t="shared" si="9"/>
        <v>75</v>
      </c>
      <c r="E43">
        <f t="shared" si="9"/>
        <v>79</v>
      </c>
      <c r="F43">
        <f t="shared" si="9"/>
        <v>80</v>
      </c>
      <c r="G43">
        <f t="shared" si="9"/>
        <v>75</v>
      </c>
      <c r="H43">
        <f t="shared" si="9"/>
        <v>73</v>
      </c>
      <c r="I43">
        <f t="shared" si="9"/>
        <v>75</v>
      </c>
      <c r="J43">
        <f t="shared" si="9"/>
        <v>77</v>
      </c>
      <c r="K43">
        <f t="shared" si="9"/>
        <v>81</v>
      </c>
      <c r="L43">
        <f t="shared" si="9"/>
        <v>84</v>
      </c>
      <c r="M43">
        <f t="shared" si="9"/>
        <v>84</v>
      </c>
      <c r="N43">
        <f t="shared" si="9"/>
        <v>85</v>
      </c>
      <c r="O43" s="363">
        <f t="shared" si="2"/>
        <v>86</v>
      </c>
      <c r="P43" s="363">
        <f t="shared" si="10"/>
        <v>87</v>
      </c>
      <c r="Q43" s="363">
        <f t="shared" si="10"/>
        <v>88</v>
      </c>
      <c r="R43" s="363">
        <f t="shared" si="10"/>
        <v>89</v>
      </c>
      <c r="S43" s="363">
        <f t="shared" si="10"/>
        <v>90</v>
      </c>
      <c r="T43" s="363">
        <f t="shared" si="10"/>
        <v>91</v>
      </c>
      <c r="U43" s="363">
        <f t="shared" si="10"/>
        <v>92</v>
      </c>
      <c r="V43" s="363">
        <f t="shared" si="10"/>
        <v>93</v>
      </c>
      <c r="W43" s="363">
        <f t="shared" si="10"/>
        <v>94</v>
      </c>
      <c r="X43" s="363">
        <f t="shared" si="10"/>
        <v>95</v>
      </c>
      <c r="Y43" s="363">
        <f t="shared" si="10"/>
        <v>96</v>
      </c>
      <c r="Z43" s="363">
        <f t="shared" si="10"/>
        <v>97</v>
      </c>
      <c r="AA43" s="363">
        <f t="shared" si="10"/>
        <v>98</v>
      </c>
      <c r="AB43" s="363">
        <f t="shared" si="10"/>
        <v>99</v>
      </c>
      <c r="AC43" s="363">
        <f t="shared" si="10"/>
        <v>100</v>
      </c>
      <c r="AD43" s="363">
        <f t="shared" si="10"/>
        <v>101</v>
      </c>
      <c r="AE43" s="363">
        <f t="shared" si="10"/>
        <v>102</v>
      </c>
      <c r="AF43" s="363">
        <f t="shared" si="10"/>
        <v>103</v>
      </c>
      <c r="AG43" s="363">
        <f t="shared" si="10"/>
        <v>104</v>
      </c>
      <c r="AH43" s="363">
        <f t="shared" si="10"/>
        <v>105</v>
      </c>
      <c r="AI43" s="363">
        <f t="shared" si="10"/>
        <v>106</v>
      </c>
      <c r="AJ43" s="363">
        <f t="shared" si="10"/>
        <v>107</v>
      </c>
      <c r="AK43" s="363">
        <f t="shared" si="10"/>
        <v>108</v>
      </c>
      <c r="AL43" s="363">
        <f t="shared" si="10"/>
        <v>109</v>
      </c>
      <c r="AM43" s="363">
        <f t="shared" si="10"/>
        <v>110</v>
      </c>
      <c r="AN43" s="363">
        <f t="shared" si="10"/>
        <v>111</v>
      </c>
      <c r="AO43" s="363">
        <f t="shared" si="10"/>
        <v>112</v>
      </c>
      <c r="AP43" s="363">
        <f t="shared" si="10"/>
        <v>113</v>
      </c>
      <c r="AQ43" s="363">
        <f t="shared" si="10"/>
        <v>114</v>
      </c>
      <c r="AR43" s="363">
        <f t="shared" si="10"/>
        <v>115</v>
      </c>
      <c r="AS43" s="363">
        <f t="shared" si="10"/>
        <v>116</v>
      </c>
      <c r="AT43" s="363">
        <f t="shared" si="10"/>
        <v>117</v>
      </c>
      <c r="AU43" s="363">
        <f t="shared" si="10"/>
        <v>118</v>
      </c>
      <c r="AV43" s="363">
        <f t="shared" si="10"/>
        <v>119</v>
      </c>
    </row>
    <row r="44" spans="1:48" x14ac:dyDescent="0.25">
      <c r="A44" s="352" t="s">
        <v>1732</v>
      </c>
      <c r="B44" t="s">
        <v>295</v>
      </c>
      <c r="C44" t="s">
        <v>874</v>
      </c>
      <c r="D44">
        <f t="shared" si="9"/>
        <v>0</v>
      </c>
      <c r="E44">
        <f t="shared" si="9"/>
        <v>0</v>
      </c>
      <c r="F44">
        <f t="shared" si="9"/>
        <v>0</v>
      </c>
      <c r="G44">
        <f t="shared" si="9"/>
        <v>0</v>
      </c>
      <c r="H44">
        <f t="shared" si="9"/>
        <v>0</v>
      </c>
      <c r="I44">
        <f t="shared" si="9"/>
        <v>0</v>
      </c>
      <c r="J44">
        <f t="shared" si="9"/>
        <v>0</v>
      </c>
      <c r="K44">
        <f t="shared" si="9"/>
        <v>0</v>
      </c>
      <c r="L44">
        <f t="shared" si="9"/>
        <v>0</v>
      </c>
      <c r="M44">
        <f t="shared" si="9"/>
        <v>0</v>
      </c>
      <c r="N44">
        <f t="shared" si="9"/>
        <v>0</v>
      </c>
      <c r="O44" s="363">
        <f t="shared" si="2"/>
        <v>0</v>
      </c>
      <c r="P44" s="363">
        <f t="shared" si="10"/>
        <v>0</v>
      </c>
      <c r="Q44" s="363">
        <f t="shared" si="10"/>
        <v>0</v>
      </c>
      <c r="R44" s="363">
        <f t="shared" si="10"/>
        <v>0</v>
      </c>
      <c r="S44" s="363">
        <f t="shared" si="10"/>
        <v>0</v>
      </c>
      <c r="T44" s="363">
        <f t="shared" si="10"/>
        <v>0</v>
      </c>
      <c r="U44" s="363">
        <f t="shared" si="10"/>
        <v>0</v>
      </c>
      <c r="V44" s="363">
        <f t="shared" si="10"/>
        <v>0</v>
      </c>
      <c r="W44" s="363">
        <f t="shared" si="10"/>
        <v>0</v>
      </c>
      <c r="X44" s="363">
        <f t="shared" si="10"/>
        <v>0</v>
      </c>
      <c r="Y44" s="363">
        <f t="shared" si="10"/>
        <v>0</v>
      </c>
      <c r="Z44" s="363">
        <f t="shared" si="10"/>
        <v>0</v>
      </c>
      <c r="AA44" s="363">
        <f t="shared" si="10"/>
        <v>0</v>
      </c>
      <c r="AB44" s="363">
        <f t="shared" si="10"/>
        <v>0</v>
      </c>
      <c r="AC44" s="363">
        <f t="shared" si="10"/>
        <v>0</v>
      </c>
      <c r="AD44" s="363">
        <f t="shared" si="10"/>
        <v>0</v>
      </c>
      <c r="AE44" s="363">
        <f t="shared" si="10"/>
        <v>0</v>
      </c>
      <c r="AF44" s="363">
        <f t="shared" si="10"/>
        <v>0</v>
      </c>
      <c r="AG44" s="363">
        <f t="shared" si="10"/>
        <v>0</v>
      </c>
      <c r="AH44" s="363">
        <f t="shared" si="10"/>
        <v>0</v>
      </c>
      <c r="AI44" s="363">
        <f t="shared" si="10"/>
        <v>0</v>
      </c>
      <c r="AJ44" s="363">
        <f t="shared" si="10"/>
        <v>0</v>
      </c>
      <c r="AK44" s="363">
        <f t="shared" si="10"/>
        <v>0</v>
      </c>
      <c r="AL44" s="363">
        <f t="shared" si="10"/>
        <v>0</v>
      </c>
      <c r="AM44" s="363">
        <f t="shared" si="10"/>
        <v>0</v>
      </c>
      <c r="AN44" s="363">
        <f t="shared" si="10"/>
        <v>0</v>
      </c>
      <c r="AO44" s="363">
        <f t="shared" si="10"/>
        <v>0</v>
      </c>
      <c r="AP44" s="363">
        <f t="shared" si="10"/>
        <v>0</v>
      </c>
      <c r="AQ44" s="363">
        <f t="shared" si="10"/>
        <v>0</v>
      </c>
      <c r="AR44" s="363">
        <f t="shared" si="10"/>
        <v>0</v>
      </c>
      <c r="AS44" s="363">
        <f t="shared" si="10"/>
        <v>0</v>
      </c>
      <c r="AT44" s="363">
        <f t="shared" si="10"/>
        <v>0</v>
      </c>
      <c r="AU44" s="363">
        <f t="shared" si="10"/>
        <v>0</v>
      </c>
      <c r="AV44" s="363">
        <f t="shared" si="10"/>
        <v>0</v>
      </c>
    </row>
    <row r="45" spans="1:48" x14ac:dyDescent="0.25">
      <c r="A45" s="350" t="s">
        <v>1718</v>
      </c>
      <c r="B45" t="s">
        <v>1461</v>
      </c>
      <c r="C45" t="s">
        <v>874</v>
      </c>
      <c r="D45">
        <f t="shared" si="9"/>
        <v>0</v>
      </c>
      <c r="E45">
        <f t="shared" si="9"/>
        <v>0</v>
      </c>
      <c r="F45">
        <f t="shared" si="9"/>
        <v>0</v>
      </c>
      <c r="G45">
        <f t="shared" si="9"/>
        <v>0</v>
      </c>
      <c r="H45">
        <f t="shared" si="9"/>
        <v>0</v>
      </c>
      <c r="I45">
        <f t="shared" si="9"/>
        <v>0</v>
      </c>
      <c r="J45">
        <f t="shared" si="9"/>
        <v>0</v>
      </c>
      <c r="K45">
        <f t="shared" si="9"/>
        <v>0</v>
      </c>
      <c r="L45">
        <f t="shared" si="9"/>
        <v>0</v>
      </c>
      <c r="M45">
        <f t="shared" si="9"/>
        <v>0</v>
      </c>
      <c r="N45">
        <f t="shared" si="9"/>
        <v>0</v>
      </c>
      <c r="O45" s="363">
        <f t="shared" si="2"/>
        <v>0</v>
      </c>
      <c r="P45" s="363">
        <f t="shared" si="10"/>
        <v>0</v>
      </c>
      <c r="Q45" s="363">
        <f t="shared" si="10"/>
        <v>0</v>
      </c>
      <c r="R45" s="363">
        <f t="shared" si="10"/>
        <v>0</v>
      </c>
      <c r="S45" s="363">
        <f t="shared" si="10"/>
        <v>0</v>
      </c>
      <c r="T45" s="363">
        <f t="shared" si="10"/>
        <v>0</v>
      </c>
      <c r="U45" s="363">
        <f t="shared" si="10"/>
        <v>0</v>
      </c>
      <c r="V45" s="363">
        <f t="shared" si="10"/>
        <v>0</v>
      </c>
      <c r="W45" s="363">
        <f t="shared" si="10"/>
        <v>0</v>
      </c>
      <c r="X45" s="363">
        <f t="shared" si="10"/>
        <v>0</v>
      </c>
      <c r="Y45" s="363">
        <f t="shared" si="10"/>
        <v>0</v>
      </c>
      <c r="Z45" s="363">
        <f t="shared" si="10"/>
        <v>0</v>
      </c>
      <c r="AA45" s="363">
        <f t="shared" si="10"/>
        <v>0</v>
      </c>
      <c r="AB45" s="363">
        <f t="shared" si="10"/>
        <v>0</v>
      </c>
      <c r="AC45" s="363">
        <f t="shared" si="10"/>
        <v>0</v>
      </c>
      <c r="AD45" s="363">
        <f t="shared" si="10"/>
        <v>0</v>
      </c>
      <c r="AE45" s="363">
        <f t="shared" si="10"/>
        <v>0</v>
      </c>
      <c r="AF45" s="363">
        <f t="shared" si="10"/>
        <v>0</v>
      </c>
      <c r="AG45" s="363">
        <f t="shared" si="10"/>
        <v>0</v>
      </c>
      <c r="AH45" s="363">
        <f t="shared" si="10"/>
        <v>0</v>
      </c>
      <c r="AI45" s="363">
        <f t="shared" si="10"/>
        <v>0</v>
      </c>
      <c r="AJ45" s="363">
        <f t="shared" si="10"/>
        <v>0</v>
      </c>
      <c r="AK45" s="363">
        <f t="shared" si="10"/>
        <v>0</v>
      </c>
      <c r="AL45" s="363">
        <f t="shared" si="10"/>
        <v>0</v>
      </c>
      <c r="AM45" s="363">
        <f t="shared" si="10"/>
        <v>0</v>
      </c>
      <c r="AN45" s="363">
        <f t="shared" si="10"/>
        <v>0</v>
      </c>
      <c r="AO45" s="363">
        <f t="shared" si="10"/>
        <v>0</v>
      </c>
      <c r="AP45" s="363">
        <f t="shared" si="10"/>
        <v>0</v>
      </c>
      <c r="AQ45" s="363">
        <f t="shared" si="10"/>
        <v>0</v>
      </c>
      <c r="AR45" s="363">
        <f t="shared" si="10"/>
        <v>0</v>
      </c>
      <c r="AS45" s="363">
        <f t="shared" si="10"/>
        <v>0</v>
      </c>
      <c r="AT45" s="363">
        <f t="shared" si="10"/>
        <v>0</v>
      </c>
      <c r="AU45" s="363">
        <f t="shared" si="10"/>
        <v>0</v>
      </c>
      <c r="AV45" s="363">
        <f t="shared" si="10"/>
        <v>0</v>
      </c>
    </row>
    <row r="46" spans="1:48" x14ac:dyDescent="0.25">
      <c r="A46" s="350" t="s">
        <v>1719</v>
      </c>
      <c r="B46" t="s">
        <v>295</v>
      </c>
      <c r="C46" t="s">
        <v>874</v>
      </c>
      <c r="D46">
        <f t="shared" si="9"/>
        <v>0</v>
      </c>
      <c r="E46">
        <f t="shared" si="9"/>
        <v>0</v>
      </c>
      <c r="F46">
        <f t="shared" si="9"/>
        <v>0</v>
      </c>
      <c r="G46">
        <f t="shared" si="9"/>
        <v>0</v>
      </c>
      <c r="H46">
        <f t="shared" si="9"/>
        <v>0</v>
      </c>
      <c r="I46">
        <f t="shared" si="9"/>
        <v>0</v>
      </c>
      <c r="J46">
        <f t="shared" si="9"/>
        <v>0</v>
      </c>
      <c r="K46">
        <f t="shared" si="9"/>
        <v>0</v>
      </c>
      <c r="L46">
        <f t="shared" si="9"/>
        <v>0</v>
      </c>
      <c r="M46">
        <f t="shared" si="9"/>
        <v>0</v>
      </c>
      <c r="N46">
        <f t="shared" si="9"/>
        <v>0</v>
      </c>
      <c r="O46" s="363">
        <f t="shared" si="2"/>
        <v>0</v>
      </c>
      <c r="P46" s="363">
        <f t="shared" si="10"/>
        <v>0</v>
      </c>
      <c r="Q46" s="363">
        <f t="shared" si="10"/>
        <v>0</v>
      </c>
      <c r="R46" s="363">
        <f t="shared" si="10"/>
        <v>0</v>
      </c>
      <c r="S46" s="363">
        <f t="shared" si="10"/>
        <v>0</v>
      </c>
      <c r="T46" s="363">
        <f t="shared" si="10"/>
        <v>0</v>
      </c>
      <c r="U46" s="363">
        <f t="shared" si="10"/>
        <v>0</v>
      </c>
      <c r="V46" s="363">
        <f t="shared" si="10"/>
        <v>0</v>
      </c>
      <c r="W46" s="363">
        <f t="shared" si="10"/>
        <v>0</v>
      </c>
      <c r="X46" s="363">
        <f t="shared" si="10"/>
        <v>0</v>
      </c>
      <c r="Y46" s="363">
        <f t="shared" si="10"/>
        <v>0</v>
      </c>
      <c r="Z46" s="363">
        <f t="shared" si="10"/>
        <v>0</v>
      </c>
      <c r="AA46" s="363">
        <f t="shared" si="10"/>
        <v>0</v>
      </c>
      <c r="AB46" s="363">
        <f t="shared" si="10"/>
        <v>0</v>
      </c>
      <c r="AC46" s="363">
        <f t="shared" si="10"/>
        <v>0</v>
      </c>
      <c r="AD46" s="363">
        <f t="shared" si="10"/>
        <v>0</v>
      </c>
      <c r="AE46" s="363">
        <f t="shared" si="10"/>
        <v>0</v>
      </c>
      <c r="AF46" s="363">
        <f t="shared" si="10"/>
        <v>0</v>
      </c>
      <c r="AG46" s="363">
        <f t="shared" si="10"/>
        <v>0</v>
      </c>
      <c r="AH46" s="363">
        <f t="shared" si="10"/>
        <v>0</v>
      </c>
      <c r="AI46" s="363">
        <f t="shared" si="10"/>
        <v>0</v>
      </c>
      <c r="AJ46" s="363">
        <f t="shared" si="10"/>
        <v>0</v>
      </c>
      <c r="AK46" s="363">
        <f t="shared" si="10"/>
        <v>0</v>
      </c>
      <c r="AL46" s="363">
        <f t="shared" si="10"/>
        <v>0</v>
      </c>
      <c r="AM46" s="363">
        <f t="shared" si="10"/>
        <v>0</v>
      </c>
      <c r="AN46" s="363">
        <f t="shared" si="10"/>
        <v>0</v>
      </c>
      <c r="AO46" s="363">
        <f t="shared" si="10"/>
        <v>0</v>
      </c>
      <c r="AP46" s="363">
        <f t="shared" si="10"/>
        <v>0</v>
      </c>
      <c r="AQ46" s="363">
        <f t="shared" si="10"/>
        <v>0</v>
      </c>
      <c r="AR46" s="363">
        <f t="shared" si="10"/>
        <v>0</v>
      </c>
      <c r="AS46" s="363">
        <f t="shared" si="10"/>
        <v>0</v>
      </c>
      <c r="AT46" s="363">
        <f t="shared" si="10"/>
        <v>0</v>
      </c>
      <c r="AU46" s="363">
        <f t="shared" si="10"/>
        <v>0</v>
      </c>
      <c r="AV46" s="363">
        <f t="shared" si="10"/>
        <v>0</v>
      </c>
    </row>
    <row r="47" spans="1:48" s="103" customFormat="1" x14ac:dyDescent="0.25">
      <c r="A47" s="353" t="s">
        <v>1720</v>
      </c>
      <c r="B47" s="103" t="s">
        <v>1734</v>
      </c>
      <c r="C47" s="103" t="s">
        <v>874</v>
      </c>
      <c r="D47" s="103">
        <f t="shared" si="9"/>
        <v>0</v>
      </c>
      <c r="E47" s="103">
        <f t="shared" si="9"/>
        <v>0</v>
      </c>
      <c r="F47" s="103">
        <f t="shared" si="9"/>
        <v>0</v>
      </c>
      <c r="G47" s="103">
        <f t="shared" si="9"/>
        <v>0</v>
      </c>
      <c r="H47" s="103">
        <f t="shared" si="9"/>
        <v>0</v>
      </c>
      <c r="I47" s="103">
        <f t="shared" si="9"/>
        <v>0</v>
      </c>
      <c r="J47" s="103">
        <f t="shared" si="9"/>
        <v>0</v>
      </c>
      <c r="K47" s="103">
        <f t="shared" si="9"/>
        <v>0</v>
      </c>
      <c r="L47" s="103">
        <f t="shared" si="9"/>
        <v>0</v>
      </c>
      <c r="M47" s="103">
        <f t="shared" si="9"/>
        <v>0</v>
      </c>
      <c r="N47" s="103">
        <f t="shared" si="9"/>
        <v>0</v>
      </c>
      <c r="O47" s="363">
        <f t="shared" si="2"/>
        <v>0</v>
      </c>
      <c r="P47" s="363">
        <f t="shared" si="10"/>
        <v>0</v>
      </c>
      <c r="Q47" s="363">
        <f t="shared" si="10"/>
        <v>0</v>
      </c>
      <c r="R47" s="363">
        <f t="shared" si="10"/>
        <v>0</v>
      </c>
      <c r="S47" s="363">
        <f t="shared" si="10"/>
        <v>0</v>
      </c>
      <c r="T47" s="363">
        <f t="shared" si="10"/>
        <v>0</v>
      </c>
      <c r="U47" s="363">
        <f t="shared" si="10"/>
        <v>0</v>
      </c>
      <c r="V47" s="363">
        <f t="shared" si="10"/>
        <v>0</v>
      </c>
      <c r="W47" s="363">
        <f t="shared" si="10"/>
        <v>0</v>
      </c>
      <c r="X47" s="363">
        <f t="shared" si="10"/>
        <v>0</v>
      </c>
      <c r="Y47" s="363">
        <f t="shared" si="10"/>
        <v>0</v>
      </c>
      <c r="Z47" s="363">
        <f t="shared" si="10"/>
        <v>0</v>
      </c>
      <c r="AA47" s="363">
        <f t="shared" si="10"/>
        <v>0</v>
      </c>
      <c r="AB47" s="363">
        <f t="shared" si="10"/>
        <v>0</v>
      </c>
      <c r="AC47" s="363">
        <f t="shared" si="10"/>
        <v>0</v>
      </c>
      <c r="AD47" s="363">
        <f t="shared" si="10"/>
        <v>0</v>
      </c>
      <c r="AE47" s="363">
        <f t="shared" si="10"/>
        <v>0</v>
      </c>
      <c r="AF47" s="363">
        <f t="shared" si="10"/>
        <v>0</v>
      </c>
      <c r="AG47" s="363">
        <f t="shared" si="10"/>
        <v>0</v>
      </c>
      <c r="AH47" s="363">
        <f t="shared" si="10"/>
        <v>0</v>
      </c>
      <c r="AI47" s="363">
        <f t="shared" si="10"/>
        <v>0</v>
      </c>
      <c r="AJ47" s="363">
        <f t="shared" si="10"/>
        <v>0</v>
      </c>
      <c r="AK47" s="363">
        <f t="shared" si="10"/>
        <v>0</v>
      </c>
      <c r="AL47" s="363">
        <f t="shared" si="10"/>
        <v>0</v>
      </c>
      <c r="AM47" s="363">
        <f t="shared" si="10"/>
        <v>0</v>
      </c>
      <c r="AN47" s="363">
        <f t="shared" si="10"/>
        <v>0</v>
      </c>
      <c r="AO47" s="363">
        <f t="shared" si="10"/>
        <v>0</v>
      </c>
      <c r="AP47" s="363">
        <f t="shared" si="10"/>
        <v>0</v>
      </c>
      <c r="AQ47" s="363">
        <f t="shared" si="10"/>
        <v>0</v>
      </c>
      <c r="AR47" s="363">
        <f t="shared" si="10"/>
        <v>0</v>
      </c>
      <c r="AS47" s="363">
        <f t="shared" si="10"/>
        <v>0</v>
      </c>
      <c r="AT47" s="363">
        <f t="shared" si="10"/>
        <v>0</v>
      </c>
      <c r="AU47" s="363">
        <f t="shared" si="10"/>
        <v>0</v>
      </c>
      <c r="AV47" s="363">
        <f t="shared" si="10"/>
        <v>0</v>
      </c>
    </row>
    <row r="48" spans="1:48" x14ac:dyDescent="0.25">
      <c r="A48" s="350" t="s">
        <v>1721</v>
      </c>
      <c r="B48" t="s">
        <v>295</v>
      </c>
      <c r="C48" t="s">
        <v>874</v>
      </c>
      <c r="D48">
        <f t="shared" si="9"/>
        <v>0</v>
      </c>
      <c r="E48">
        <f t="shared" si="9"/>
        <v>0</v>
      </c>
      <c r="F48">
        <f t="shared" si="9"/>
        <v>0</v>
      </c>
      <c r="G48">
        <f t="shared" si="9"/>
        <v>0</v>
      </c>
      <c r="H48">
        <f t="shared" si="9"/>
        <v>0</v>
      </c>
      <c r="I48">
        <f t="shared" si="9"/>
        <v>0</v>
      </c>
      <c r="J48">
        <f t="shared" si="9"/>
        <v>0</v>
      </c>
      <c r="K48">
        <f t="shared" si="9"/>
        <v>0</v>
      </c>
      <c r="L48">
        <f t="shared" si="9"/>
        <v>0</v>
      </c>
      <c r="M48">
        <f t="shared" si="9"/>
        <v>0</v>
      </c>
      <c r="N48">
        <f t="shared" si="9"/>
        <v>0</v>
      </c>
      <c r="O48" s="363">
        <f t="shared" si="2"/>
        <v>0</v>
      </c>
      <c r="P48" s="363">
        <f t="shared" si="10"/>
        <v>0</v>
      </c>
      <c r="Q48" s="363">
        <f t="shared" si="10"/>
        <v>0</v>
      </c>
      <c r="R48" s="363">
        <f t="shared" si="10"/>
        <v>0</v>
      </c>
      <c r="S48" s="363">
        <f t="shared" si="10"/>
        <v>0</v>
      </c>
      <c r="T48" s="363">
        <f t="shared" si="10"/>
        <v>0</v>
      </c>
      <c r="U48" s="363">
        <f t="shared" si="10"/>
        <v>0</v>
      </c>
      <c r="V48" s="363">
        <f t="shared" si="10"/>
        <v>0</v>
      </c>
      <c r="W48" s="363">
        <f t="shared" si="10"/>
        <v>0</v>
      </c>
      <c r="X48" s="363">
        <f t="shared" si="10"/>
        <v>0</v>
      </c>
      <c r="Y48" s="363">
        <f t="shared" si="10"/>
        <v>0</v>
      </c>
      <c r="Z48" s="363">
        <f t="shared" si="10"/>
        <v>0</v>
      </c>
      <c r="AA48" s="363">
        <f t="shared" si="10"/>
        <v>0</v>
      </c>
      <c r="AB48" s="363">
        <f t="shared" si="10"/>
        <v>0</v>
      </c>
      <c r="AC48" s="363">
        <f t="shared" si="10"/>
        <v>0</v>
      </c>
      <c r="AD48" s="363">
        <f t="shared" si="10"/>
        <v>0</v>
      </c>
      <c r="AE48" s="363">
        <f t="shared" si="10"/>
        <v>0</v>
      </c>
      <c r="AF48" s="363">
        <f t="shared" si="10"/>
        <v>0</v>
      </c>
      <c r="AG48" s="363">
        <f t="shared" si="10"/>
        <v>0</v>
      </c>
      <c r="AH48" s="363">
        <f t="shared" si="10"/>
        <v>0</v>
      </c>
      <c r="AI48" s="363">
        <f t="shared" si="10"/>
        <v>0</v>
      </c>
      <c r="AJ48" s="363">
        <f t="shared" si="10"/>
        <v>0</v>
      </c>
      <c r="AK48" s="363">
        <f t="shared" si="10"/>
        <v>0</v>
      </c>
      <c r="AL48" s="363">
        <f t="shared" si="10"/>
        <v>0</v>
      </c>
      <c r="AM48" s="363">
        <f t="shared" si="10"/>
        <v>0</v>
      </c>
      <c r="AN48" s="363">
        <f t="shared" si="10"/>
        <v>0</v>
      </c>
      <c r="AO48" s="363">
        <f t="shared" si="10"/>
        <v>0</v>
      </c>
      <c r="AP48" s="363">
        <f t="shared" si="10"/>
        <v>0</v>
      </c>
      <c r="AQ48" s="363">
        <f t="shared" ref="P48:AV56" si="11">IFERROR(IF($N48-$D48&gt;=0,($N48-$D48)/COUNT($E$1:$N$1)+AP48,$F402*$E402^AQ$1),0)</f>
        <v>0</v>
      </c>
      <c r="AR48" s="363">
        <f t="shared" si="11"/>
        <v>0</v>
      </c>
      <c r="AS48" s="363">
        <f t="shared" si="11"/>
        <v>0</v>
      </c>
      <c r="AT48" s="363">
        <f t="shared" si="11"/>
        <v>0</v>
      </c>
      <c r="AU48" s="363">
        <f t="shared" si="11"/>
        <v>0</v>
      </c>
      <c r="AV48" s="363">
        <f t="shared" si="11"/>
        <v>0</v>
      </c>
    </row>
    <row r="49" spans="1:48" x14ac:dyDescent="0.25">
      <c r="A49" s="350" t="s">
        <v>1723</v>
      </c>
      <c r="B49" t="s">
        <v>295</v>
      </c>
      <c r="C49" t="s">
        <v>874</v>
      </c>
      <c r="D49">
        <f t="shared" si="9"/>
        <v>0</v>
      </c>
      <c r="E49">
        <f t="shared" si="9"/>
        <v>0</v>
      </c>
      <c r="F49">
        <f t="shared" si="9"/>
        <v>0</v>
      </c>
      <c r="G49">
        <f t="shared" si="9"/>
        <v>0</v>
      </c>
      <c r="H49">
        <f t="shared" si="9"/>
        <v>0</v>
      </c>
      <c r="I49">
        <f t="shared" si="9"/>
        <v>0</v>
      </c>
      <c r="J49">
        <f t="shared" si="9"/>
        <v>0</v>
      </c>
      <c r="K49">
        <f t="shared" si="9"/>
        <v>0</v>
      </c>
      <c r="L49">
        <f t="shared" si="9"/>
        <v>0</v>
      </c>
      <c r="M49">
        <f t="shared" si="9"/>
        <v>0</v>
      </c>
      <c r="N49">
        <f t="shared" si="9"/>
        <v>0</v>
      </c>
      <c r="O49" s="363">
        <f t="shared" si="2"/>
        <v>0</v>
      </c>
      <c r="P49" s="363">
        <f t="shared" si="11"/>
        <v>0</v>
      </c>
      <c r="Q49" s="363">
        <f t="shared" si="11"/>
        <v>0</v>
      </c>
      <c r="R49" s="363">
        <f t="shared" si="11"/>
        <v>0</v>
      </c>
      <c r="S49" s="363">
        <f t="shared" si="11"/>
        <v>0</v>
      </c>
      <c r="T49" s="363">
        <f t="shared" si="11"/>
        <v>0</v>
      </c>
      <c r="U49" s="363">
        <f t="shared" si="11"/>
        <v>0</v>
      </c>
      <c r="V49" s="363">
        <f t="shared" si="11"/>
        <v>0</v>
      </c>
      <c r="W49" s="363">
        <f t="shared" si="11"/>
        <v>0</v>
      </c>
      <c r="X49" s="363">
        <f t="shared" si="11"/>
        <v>0</v>
      </c>
      <c r="Y49" s="363">
        <f t="shared" si="11"/>
        <v>0</v>
      </c>
      <c r="Z49" s="363">
        <f t="shared" si="11"/>
        <v>0</v>
      </c>
      <c r="AA49" s="363">
        <f t="shared" si="11"/>
        <v>0</v>
      </c>
      <c r="AB49" s="363">
        <f t="shared" si="11"/>
        <v>0</v>
      </c>
      <c r="AC49" s="363">
        <f t="shared" si="11"/>
        <v>0</v>
      </c>
      <c r="AD49" s="363">
        <f t="shared" si="11"/>
        <v>0</v>
      </c>
      <c r="AE49" s="363">
        <f t="shared" si="11"/>
        <v>0</v>
      </c>
      <c r="AF49" s="363">
        <f t="shared" si="11"/>
        <v>0</v>
      </c>
      <c r="AG49" s="363">
        <f t="shared" si="11"/>
        <v>0</v>
      </c>
      <c r="AH49" s="363">
        <f t="shared" si="11"/>
        <v>0</v>
      </c>
      <c r="AI49" s="363">
        <f t="shared" si="11"/>
        <v>0</v>
      </c>
      <c r="AJ49" s="363">
        <f t="shared" si="11"/>
        <v>0</v>
      </c>
      <c r="AK49" s="363">
        <f t="shared" si="11"/>
        <v>0</v>
      </c>
      <c r="AL49" s="363">
        <f t="shared" si="11"/>
        <v>0</v>
      </c>
      <c r="AM49" s="363">
        <f t="shared" si="11"/>
        <v>0</v>
      </c>
      <c r="AN49" s="363">
        <f t="shared" si="11"/>
        <v>0</v>
      </c>
      <c r="AO49" s="363">
        <f t="shared" si="11"/>
        <v>0</v>
      </c>
      <c r="AP49" s="363">
        <f t="shared" si="11"/>
        <v>0</v>
      </c>
      <c r="AQ49" s="363">
        <f t="shared" si="11"/>
        <v>0</v>
      </c>
      <c r="AR49" s="363">
        <f t="shared" si="11"/>
        <v>0</v>
      </c>
      <c r="AS49" s="363">
        <f t="shared" si="11"/>
        <v>0</v>
      </c>
      <c r="AT49" s="363">
        <f t="shared" si="11"/>
        <v>0</v>
      </c>
      <c r="AU49" s="363">
        <f t="shared" si="11"/>
        <v>0</v>
      </c>
      <c r="AV49" s="363">
        <f t="shared" si="11"/>
        <v>0</v>
      </c>
    </row>
    <row r="50" spans="1:48" x14ac:dyDescent="0.25">
      <c r="A50" s="350" t="s">
        <v>1439</v>
      </c>
      <c r="B50" t="s">
        <v>1460</v>
      </c>
      <c r="C50" t="s">
        <v>875</v>
      </c>
      <c r="D50">
        <f t="shared" ref="D50:N59" si="12">IFERROR(INDEX($B$232:$AB$244,MATCH($A50,$A$232:$A$244,0),MATCH(D$1,$B$176:$AB$176,0)),0)</f>
        <v>0</v>
      </c>
      <c r="E50">
        <f t="shared" si="12"/>
        <v>0</v>
      </c>
      <c r="F50">
        <f t="shared" si="12"/>
        <v>0</v>
      </c>
      <c r="G50">
        <f t="shared" si="12"/>
        <v>0</v>
      </c>
      <c r="H50">
        <f t="shared" si="12"/>
        <v>0</v>
      </c>
      <c r="I50">
        <f t="shared" si="12"/>
        <v>0</v>
      </c>
      <c r="J50">
        <f t="shared" si="12"/>
        <v>0</v>
      </c>
      <c r="K50">
        <f t="shared" si="12"/>
        <v>0</v>
      </c>
      <c r="L50">
        <f t="shared" si="12"/>
        <v>0</v>
      </c>
      <c r="M50">
        <f t="shared" si="12"/>
        <v>0</v>
      </c>
      <c r="N50">
        <f t="shared" si="12"/>
        <v>0</v>
      </c>
      <c r="O50" s="363">
        <f t="shared" si="2"/>
        <v>0</v>
      </c>
      <c r="P50" s="363">
        <f t="shared" si="11"/>
        <v>0</v>
      </c>
      <c r="Q50" s="363">
        <f t="shared" si="11"/>
        <v>0</v>
      </c>
      <c r="R50" s="363">
        <f t="shared" si="11"/>
        <v>0</v>
      </c>
      <c r="S50" s="363">
        <f t="shared" si="11"/>
        <v>0</v>
      </c>
      <c r="T50" s="363">
        <f t="shared" si="11"/>
        <v>0</v>
      </c>
      <c r="U50" s="363">
        <f t="shared" si="11"/>
        <v>0</v>
      </c>
      <c r="V50" s="363">
        <f t="shared" si="11"/>
        <v>0</v>
      </c>
      <c r="W50" s="363">
        <f t="shared" si="11"/>
        <v>0</v>
      </c>
      <c r="X50" s="363">
        <f t="shared" si="11"/>
        <v>0</v>
      </c>
      <c r="Y50" s="363">
        <f t="shared" si="11"/>
        <v>0</v>
      </c>
      <c r="Z50" s="363">
        <f t="shared" si="11"/>
        <v>0</v>
      </c>
      <c r="AA50" s="363">
        <f t="shared" si="11"/>
        <v>0</v>
      </c>
      <c r="AB50" s="363">
        <f t="shared" si="11"/>
        <v>0</v>
      </c>
      <c r="AC50" s="363">
        <f t="shared" si="11"/>
        <v>0</v>
      </c>
      <c r="AD50" s="363">
        <f t="shared" si="11"/>
        <v>0</v>
      </c>
      <c r="AE50" s="363">
        <f t="shared" si="11"/>
        <v>0</v>
      </c>
      <c r="AF50" s="363">
        <f t="shared" si="11"/>
        <v>0</v>
      </c>
      <c r="AG50" s="363">
        <f t="shared" si="11"/>
        <v>0</v>
      </c>
      <c r="AH50" s="363">
        <f t="shared" si="11"/>
        <v>0</v>
      </c>
      <c r="AI50" s="363">
        <f t="shared" si="11"/>
        <v>0</v>
      </c>
      <c r="AJ50" s="363">
        <f t="shared" si="11"/>
        <v>0</v>
      </c>
      <c r="AK50" s="363">
        <f t="shared" si="11"/>
        <v>0</v>
      </c>
      <c r="AL50" s="363">
        <f t="shared" si="11"/>
        <v>0</v>
      </c>
      <c r="AM50" s="363">
        <f t="shared" si="11"/>
        <v>0</v>
      </c>
      <c r="AN50" s="363">
        <f t="shared" si="11"/>
        <v>0</v>
      </c>
      <c r="AO50" s="363">
        <f t="shared" si="11"/>
        <v>0</v>
      </c>
      <c r="AP50" s="363">
        <f t="shared" si="11"/>
        <v>0</v>
      </c>
      <c r="AQ50" s="363">
        <f t="shared" si="11"/>
        <v>0</v>
      </c>
      <c r="AR50" s="363">
        <f t="shared" si="11"/>
        <v>0</v>
      </c>
      <c r="AS50" s="363">
        <f t="shared" si="11"/>
        <v>0</v>
      </c>
      <c r="AT50" s="363">
        <f t="shared" si="11"/>
        <v>0</v>
      </c>
      <c r="AU50" s="363">
        <f t="shared" si="11"/>
        <v>0</v>
      </c>
      <c r="AV50" s="363">
        <f t="shared" si="11"/>
        <v>0</v>
      </c>
    </row>
    <row r="51" spans="1:48" x14ac:dyDescent="0.25">
      <c r="A51" s="350" t="s">
        <v>1440</v>
      </c>
      <c r="B51" t="s">
        <v>229</v>
      </c>
      <c r="C51" t="s">
        <v>875</v>
      </c>
      <c r="D51">
        <f t="shared" si="12"/>
        <v>37</v>
      </c>
      <c r="E51">
        <f t="shared" si="12"/>
        <v>44</v>
      </c>
      <c r="F51">
        <f t="shared" si="12"/>
        <v>38</v>
      </c>
      <c r="G51">
        <f t="shared" si="12"/>
        <v>32</v>
      </c>
      <c r="H51">
        <f t="shared" si="12"/>
        <v>39</v>
      </c>
      <c r="I51">
        <f t="shared" si="12"/>
        <v>37</v>
      </c>
      <c r="J51">
        <f t="shared" si="12"/>
        <v>35</v>
      </c>
      <c r="K51">
        <f t="shared" si="12"/>
        <v>36</v>
      </c>
      <c r="L51">
        <f t="shared" si="12"/>
        <v>37</v>
      </c>
      <c r="M51">
        <f t="shared" si="12"/>
        <v>39</v>
      </c>
      <c r="N51">
        <f t="shared" si="12"/>
        <v>34</v>
      </c>
      <c r="O51" s="363">
        <f t="shared" si="2"/>
        <v>36.13913170048955</v>
      </c>
      <c r="P51" s="363">
        <f t="shared" si="11"/>
        <v>35.965806661718027</v>
      </c>
      <c r="Q51" s="363">
        <f t="shared" si="11"/>
        <v>35.793312898288526</v>
      </c>
      <c r="R51" s="363">
        <f t="shared" si="11"/>
        <v>35.621646423363956</v>
      </c>
      <c r="S51" s="363">
        <f t="shared" si="11"/>
        <v>35.450803269228302</v>
      </c>
      <c r="T51" s="363">
        <f t="shared" si="11"/>
        <v>35.28077948719487</v>
      </c>
      <c r="U51" s="363">
        <f t="shared" si="11"/>
        <v>35.111571147515122</v>
      </c>
      <c r="V51" s="363">
        <f t="shared" si="11"/>
        <v>34.943174339287701</v>
      </c>
      <c r="W51" s="363">
        <f t="shared" si="11"/>
        <v>34.775585170368196</v>
      </c>
      <c r="X51" s="363">
        <f t="shared" si="11"/>
        <v>34.608799767279073</v>
      </c>
      <c r="Y51" s="363">
        <f t="shared" si="11"/>
        <v>34.442814275120199</v>
      </c>
      <c r="Z51" s="363">
        <f t="shared" si="11"/>
        <v>34.277624857479736</v>
      </c>
      <c r="AA51" s="363">
        <f t="shared" si="11"/>
        <v>34.11322769634544</v>
      </c>
      <c r="AB51" s="363">
        <f t="shared" si="11"/>
        <v>33.949618992016454</v>
      </c>
      <c r="AC51" s="363">
        <f t="shared" si="11"/>
        <v>33.786794963015502</v>
      </c>
      <c r="AD51" s="363">
        <f t="shared" si="11"/>
        <v>33.624751846001388</v>
      </c>
      <c r="AE51" s="363">
        <f t="shared" si="11"/>
        <v>33.463485895682155</v>
      </c>
      <c r="AF51" s="363">
        <f t="shared" si="11"/>
        <v>33.302993384728396</v>
      </c>
      <c r="AG51" s="363">
        <f t="shared" si="11"/>
        <v>33.143270603687213</v>
      </c>
      <c r="AH51" s="363">
        <f t="shared" si="11"/>
        <v>32.98431386089635</v>
      </c>
      <c r="AI51" s="363">
        <f t="shared" si="11"/>
        <v>32.826119482399008</v>
      </c>
      <c r="AJ51" s="363">
        <f t="shared" si="11"/>
        <v>32.668683811858848</v>
      </c>
      <c r="AK51" s="363">
        <f t="shared" si="11"/>
        <v>32.51200321047547</v>
      </c>
      <c r="AL51" s="363">
        <f t="shared" si="11"/>
        <v>32.356074056900383</v>
      </c>
      <c r="AM51" s="363">
        <f t="shared" si="11"/>
        <v>32.200892747153226</v>
      </c>
      <c r="AN51" s="363">
        <f t="shared" si="11"/>
        <v>32.04645569453853</v>
      </c>
      <c r="AO51" s="363">
        <f t="shared" si="11"/>
        <v>31.892759329562729</v>
      </c>
      <c r="AP51" s="363">
        <f t="shared" si="11"/>
        <v>31.739800099851834</v>
      </c>
      <c r="AQ51" s="363">
        <f t="shared" si="11"/>
        <v>31.587574470069118</v>
      </c>
      <c r="AR51" s="363">
        <f t="shared" si="11"/>
        <v>31.436078921833541</v>
      </c>
      <c r="AS51" s="363">
        <f t="shared" si="11"/>
        <v>31.285309953638372</v>
      </c>
      <c r="AT51" s="363">
        <f t="shared" si="11"/>
        <v>31.135264080770302</v>
      </c>
      <c r="AU51" s="363">
        <f t="shared" si="11"/>
        <v>30.985937835228867</v>
      </c>
      <c r="AV51" s="363">
        <f t="shared" si="11"/>
        <v>30.837327765646293</v>
      </c>
    </row>
    <row r="52" spans="1:48" x14ac:dyDescent="0.25">
      <c r="A52" s="351" t="s">
        <v>1725</v>
      </c>
      <c r="B52" t="s">
        <v>295</v>
      </c>
      <c r="C52" t="s">
        <v>875</v>
      </c>
      <c r="D52">
        <f t="shared" si="12"/>
        <v>0</v>
      </c>
      <c r="E52">
        <f t="shared" si="12"/>
        <v>0</v>
      </c>
      <c r="F52">
        <f t="shared" si="12"/>
        <v>0</v>
      </c>
      <c r="G52">
        <f t="shared" si="12"/>
        <v>0</v>
      </c>
      <c r="H52">
        <f t="shared" si="12"/>
        <v>0</v>
      </c>
      <c r="I52">
        <f t="shared" si="12"/>
        <v>0</v>
      </c>
      <c r="J52">
        <f t="shared" si="12"/>
        <v>0</v>
      </c>
      <c r="K52">
        <f t="shared" si="12"/>
        <v>0</v>
      </c>
      <c r="L52">
        <f t="shared" si="12"/>
        <v>0</v>
      </c>
      <c r="M52">
        <f t="shared" si="12"/>
        <v>0</v>
      </c>
      <c r="N52">
        <f t="shared" si="12"/>
        <v>0</v>
      </c>
      <c r="O52" s="363">
        <f t="shared" si="2"/>
        <v>0</v>
      </c>
      <c r="P52" s="363">
        <f t="shared" si="11"/>
        <v>0</v>
      </c>
      <c r="Q52" s="363">
        <f t="shared" si="11"/>
        <v>0</v>
      </c>
      <c r="R52" s="363">
        <f t="shared" si="11"/>
        <v>0</v>
      </c>
      <c r="S52" s="363">
        <f t="shared" si="11"/>
        <v>0</v>
      </c>
      <c r="T52" s="363">
        <f t="shared" si="11"/>
        <v>0</v>
      </c>
      <c r="U52" s="363">
        <f t="shared" si="11"/>
        <v>0</v>
      </c>
      <c r="V52" s="363">
        <f t="shared" si="11"/>
        <v>0</v>
      </c>
      <c r="W52" s="363">
        <f t="shared" si="11"/>
        <v>0</v>
      </c>
      <c r="X52" s="363">
        <f t="shared" si="11"/>
        <v>0</v>
      </c>
      <c r="Y52" s="363">
        <f t="shared" si="11"/>
        <v>0</v>
      </c>
      <c r="Z52" s="363">
        <f t="shared" si="11"/>
        <v>0</v>
      </c>
      <c r="AA52" s="363">
        <f t="shared" si="11"/>
        <v>0</v>
      </c>
      <c r="AB52" s="363">
        <f t="shared" si="11"/>
        <v>0</v>
      </c>
      <c r="AC52" s="363">
        <f t="shared" si="11"/>
        <v>0</v>
      </c>
      <c r="AD52" s="363">
        <f t="shared" si="11"/>
        <v>0</v>
      </c>
      <c r="AE52" s="363">
        <f t="shared" si="11"/>
        <v>0</v>
      </c>
      <c r="AF52" s="363">
        <f t="shared" si="11"/>
        <v>0</v>
      </c>
      <c r="AG52" s="363">
        <f t="shared" si="11"/>
        <v>0</v>
      </c>
      <c r="AH52" s="363">
        <f t="shared" si="11"/>
        <v>0</v>
      </c>
      <c r="AI52" s="363">
        <f t="shared" si="11"/>
        <v>0</v>
      </c>
      <c r="AJ52" s="363">
        <f t="shared" si="11"/>
        <v>0</v>
      </c>
      <c r="AK52" s="363">
        <f t="shared" si="11"/>
        <v>0</v>
      </c>
      <c r="AL52" s="363">
        <f t="shared" si="11"/>
        <v>0</v>
      </c>
      <c r="AM52" s="363">
        <f t="shared" si="11"/>
        <v>0</v>
      </c>
      <c r="AN52" s="363">
        <f t="shared" si="11"/>
        <v>0</v>
      </c>
      <c r="AO52" s="363">
        <f t="shared" si="11"/>
        <v>0</v>
      </c>
      <c r="AP52" s="363">
        <f t="shared" si="11"/>
        <v>0</v>
      </c>
      <c r="AQ52" s="363">
        <f t="shared" si="11"/>
        <v>0</v>
      </c>
      <c r="AR52" s="363">
        <f t="shared" si="11"/>
        <v>0</v>
      </c>
      <c r="AS52" s="363">
        <f t="shared" si="11"/>
        <v>0</v>
      </c>
      <c r="AT52" s="363">
        <f t="shared" si="11"/>
        <v>0</v>
      </c>
      <c r="AU52" s="363">
        <f t="shared" si="11"/>
        <v>0</v>
      </c>
      <c r="AV52" s="363">
        <f t="shared" si="11"/>
        <v>0</v>
      </c>
    </row>
    <row r="53" spans="1:48" x14ac:dyDescent="0.25">
      <c r="A53" s="350" t="s">
        <v>1722</v>
      </c>
      <c r="B53" t="s">
        <v>295</v>
      </c>
      <c r="C53" t="s">
        <v>875</v>
      </c>
      <c r="D53">
        <f t="shared" si="12"/>
        <v>0</v>
      </c>
      <c r="E53">
        <f t="shared" si="12"/>
        <v>0</v>
      </c>
      <c r="F53">
        <f t="shared" si="12"/>
        <v>0</v>
      </c>
      <c r="G53">
        <f t="shared" si="12"/>
        <v>0</v>
      </c>
      <c r="H53">
        <f t="shared" si="12"/>
        <v>0</v>
      </c>
      <c r="I53">
        <f t="shared" si="12"/>
        <v>0</v>
      </c>
      <c r="J53">
        <f t="shared" si="12"/>
        <v>0</v>
      </c>
      <c r="K53">
        <f t="shared" si="12"/>
        <v>0</v>
      </c>
      <c r="L53">
        <f t="shared" si="12"/>
        <v>0</v>
      </c>
      <c r="M53">
        <f t="shared" si="12"/>
        <v>0</v>
      </c>
      <c r="N53">
        <f t="shared" si="12"/>
        <v>0</v>
      </c>
      <c r="O53" s="363">
        <f t="shared" si="2"/>
        <v>0</v>
      </c>
      <c r="P53" s="363">
        <f t="shared" si="11"/>
        <v>0</v>
      </c>
      <c r="Q53" s="363">
        <f t="shared" si="11"/>
        <v>0</v>
      </c>
      <c r="R53" s="363">
        <f t="shared" si="11"/>
        <v>0</v>
      </c>
      <c r="S53" s="363">
        <f t="shared" si="11"/>
        <v>0</v>
      </c>
      <c r="T53" s="363">
        <f t="shared" si="11"/>
        <v>0</v>
      </c>
      <c r="U53" s="363">
        <f t="shared" si="11"/>
        <v>0</v>
      </c>
      <c r="V53" s="363">
        <f t="shared" si="11"/>
        <v>0</v>
      </c>
      <c r="W53" s="363">
        <f t="shared" si="11"/>
        <v>0</v>
      </c>
      <c r="X53" s="363">
        <f t="shared" si="11"/>
        <v>0</v>
      </c>
      <c r="Y53" s="363">
        <f t="shared" si="11"/>
        <v>0</v>
      </c>
      <c r="Z53" s="363">
        <f t="shared" si="11"/>
        <v>0</v>
      </c>
      <c r="AA53" s="363">
        <f t="shared" si="11"/>
        <v>0</v>
      </c>
      <c r="AB53" s="363">
        <f t="shared" si="11"/>
        <v>0</v>
      </c>
      <c r="AC53" s="363">
        <f t="shared" si="11"/>
        <v>0</v>
      </c>
      <c r="AD53" s="363">
        <f t="shared" si="11"/>
        <v>0</v>
      </c>
      <c r="AE53" s="363">
        <f t="shared" si="11"/>
        <v>0</v>
      </c>
      <c r="AF53" s="363">
        <f t="shared" si="11"/>
        <v>0</v>
      </c>
      <c r="AG53" s="363">
        <f t="shared" si="11"/>
        <v>0</v>
      </c>
      <c r="AH53" s="363">
        <f t="shared" si="11"/>
        <v>0</v>
      </c>
      <c r="AI53" s="363">
        <f t="shared" si="11"/>
        <v>0</v>
      </c>
      <c r="AJ53" s="363">
        <f t="shared" si="11"/>
        <v>0</v>
      </c>
      <c r="AK53" s="363">
        <f t="shared" si="11"/>
        <v>0</v>
      </c>
      <c r="AL53" s="363">
        <f t="shared" si="11"/>
        <v>0</v>
      </c>
      <c r="AM53" s="363">
        <f t="shared" si="11"/>
        <v>0</v>
      </c>
      <c r="AN53" s="363">
        <f t="shared" si="11"/>
        <v>0</v>
      </c>
      <c r="AO53" s="363">
        <f t="shared" si="11"/>
        <v>0</v>
      </c>
      <c r="AP53" s="363">
        <f t="shared" si="11"/>
        <v>0</v>
      </c>
      <c r="AQ53" s="363">
        <f t="shared" si="11"/>
        <v>0</v>
      </c>
      <c r="AR53" s="363">
        <f t="shared" si="11"/>
        <v>0</v>
      </c>
      <c r="AS53" s="363">
        <f t="shared" si="11"/>
        <v>0</v>
      </c>
      <c r="AT53" s="363">
        <f t="shared" si="11"/>
        <v>0</v>
      </c>
      <c r="AU53" s="363">
        <f t="shared" si="11"/>
        <v>0</v>
      </c>
      <c r="AV53" s="363">
        <f t="shared" si="11"/>
        <v>0</v>
      </c>
    </row>
    <row r="54" spans="1:48" x14ac:dyDescent="0.25">
      <c r="A54" s="350" t="s">
        <v>1443</v>
      </c>
      <c r="B54" t="s">
        <v>1461</v>
      </c>
      <c r="C54" t="s">
        <v>875</v>
      </c>
      <c r="D54">
        <f t="shared" si="12"/>
        <v>0</v>
      </c>
      <c r="E54">
        <f t="shared" si="12"/>
        <v>0</v>
      </c>
      <c r="F54">
        <f t="shared" si="12"/>
        <v>0</v>
      </c>
      <c r="G54">
        <f t="shared" si="12"/>
        <v>0</v>
      </c>
      <c r="H54">
        <f t="shared" si="12"/>
        <v>0</v>
      </c>
      <c r="I54">
        <f t="shared" si="12"/>
        <v>0</v>
      </c>
      <c r="J54">
        <f t="shared" si="12"/>
        <v>0</v>
      </c>
      <c r="K54">
        <f t="shared" si="12"/>
        <v>0</v>
      </c>
      <c r="L54">
        <f t="shared" si="12"/>
        <v>0</v>
      </c>
      <c r="M54">
        <f t="shared" si="12"/>
        <v>0</v>
      </c>
      <c r="N54">
        <f t="shared" si="12"/>
        <v>0</v>
      </c>
      <c r="O54" s="363">
        <f t="shared" si="2"/>
        <v>0</v>
      </c>
      <c r="P54" s="363">
        <f t="shared" si="11"/>
        <v>0</v>
      </c>
      <c r="Q54" s="363">
        <f t="shared" si="11"/>
        <v>0</v>
      </c>
      <c r="R54" s="363">
        <f t="shared" si="11"/>
        <v>0</v>
      </c>
      <c r="S54" s="363">
        <f t="shared" si="11"/>
        <v>0</v>
      </c>
      <c r="T54" s="363">
        <f t="shared" si="11"/>
        <v>0</v>
      </c>
      <c r="U54" s="363">
        <f t="shared" si="11"/>
        <v>0</v>
      </c>
      <c r="V54" s="363">
        <f t="shared" si="11"/>
        <v>0</v>
      </c>
      <c r="W54" s="363">
        <f t="shared" si="11"/>
        <v>0</v>
      </c>
      <c r="X54" s="363">
        <f t="shared" si="11"/>
        <v>0</v>
      </c>
      <c r="Y54" s="363">
        <f t="shared" si="11"/>
        <v>0</v>
      </c>
      <c r="Z54" s="363">
        <f t="shared" si="11"/>
        <v>0</v>
      </c>
      <c r="AA54" s="363">
        <f t="shared" si="11"/>
        <v>0</v>
      </c>
      <c r="AB54" s="363">
        <f t="shared" si="11"/>
        <v>0</v>
      </c>
      <c r="AC54" s="363">
        <f t="shared" si="11"/>
        <v>0</v>
      </c>
      <c r="AD54" s="363">
        <f t="shared" si="11"/>
        <v>0</v>
      </c>
      <c r="AE54" s="363">
        <f t="shared" si="11"/>
        <v>0</v>
      </c>
      <c r="AF54" s="363">
        <f t="shared" si="11"/>
        <v>0</v>
      </c>
      <c r="AG54" s="363">
        <f t="shared" si="11"/>
        <v>0</v>
      </c>
      <c r="AH54" s="363">
        <f t="shared" si="11"/>
        <v>0</v>
      </c>
      <c r="AI54" s="363">
        <f t="shared" si="11"/>
        <v>0</v>
      </c>
      <c r="AJ54" s="363">
        <f t="shared" si="11"/>
        <v>0</v>
      </c>
      <c r="AK54" s="363">
        <f t="shared" si="11"/>
        <v>0</v>
      </c>
      <c r="AL54" s="363">
        <f t="shared" si="11"/>
        <v>0</v>
      </c>
      <c r="AM54" s="363">
        <f t="shared" si="11"/>
        <v>0</v>
      </c>
      <c r="AN54" s="363">
        <f t="shared" si="11"/>
        <v>0</v>
      </c>
      <c r="AO54" s="363">
        <f t="shared" si="11"/>
        <v>0</v>
      </c>
      <c r="AP54" s="363">
        <f t="shared" si="11"/>
        <v>0</v>
      </c>
      <c r="AQ54" s="363">
        <f t="shared" si="11"/>
        <v>0</v>
      </c>
      <c r="AR54" s="363">
        <f t="shared" si="11"/>
        <v>0</v>
      </c>
      <c r="AS54" s="363">
        <f t="shared" si="11"/>
        <v>0</v>
      </c>
      <c r="AT54" s="363">
        <f t="shared" si="11"/>
        <v>0</v>
      </c>
      <c r="AU54" s="363">
        <f t="shared" si="11"/>
        <v>0</v>
      </c>
      <c r="AV54" s="363">
        <f t="shared" si="11"/>
        <v>0</v>
      </c>
    </row>
    <row r="55" spans="1:48" x14ac:dyDescent="0.25">
      <c r="A55" s="350" t="s">
        <v>1444</v>
      </c>
      <c r="B55" t="s">
        <v>1461</v>
      </c>
      <c r="C55" t="s">
        <v>875</v>
      </c>
      <c r="D55">
        <f t="shared" si="12"/>
        <v>0</v>
      </c>
      <c r="E55">
        <f t="shared" si="12"/>
        <v>0</v>
      </c>
      <c r="F55">
        <f t="shared" si="12"/>
        <v>0</v>
      </c>
      <c r="G55">
        <f t="shared" si="12"/>
        <v>0</v>
      </c>
      <c r="H55">
        <f t="shared" si="12"/>
        <v>0</v>
      </c>
      <c r="I55">
        <f t="shared" si="12"/>
        <v>0</v>
      </c>
      <c r="J55">
        <f t="shared" si="12"/>
        <v>0</v>
      </c>
      <c r="K55">
        <f t="shared" si="12"/>
        <v>0</v>
      </c>
      <c r="L55">
        <f t="shared" si="12"/>
        <v>0</v>
      </c>
      <c r="M55">
        <f t="shared" si="12"/>
        <v>0</v>
      </c>
      <c r="N55">
        <f t="shared" si="12"/>
        <v>0</v>
      </c>
      <c r="O55" s="363">
        <f t="shared" si="2"/>
        <v>0</v>
      </c>
      <c r="P55" s="363">
        <f t="shared" si="11"/>
        <v>0</v>
      </c>
      <c r="Q55" s="363">
        <f t="shared" si="11"/>
        <v>0</v>
      </c>
      <c r="R55" s="363">
        <f t="shared" si="11"/>
        <v>0</v>
      </c>
      <c r="S55" s="363">
        <f t="shared" si="11"/>
        <v>0</v>
      </c>
      <c r="T55" s="363">
        <f t="shared" si="11"/>
        <v>0</v>
      </c>
      <c r="U55" s="363">
        <f t="shared" si="11"/>
        <v>0</v>
      </c>
      <c r="V55" s="363">
        <f t="shared" si="11"/>
        <v>0</v>
      </c>
      <c r="W55" s="363">
        <f t="shared" si="11"/>
        <v>0</v>
      </c>
      <c r="X55" s="363">
        <f t="shared" si="11"/>
        <v>0</v>
      </c>
      <c r="Y55" s="363">
        <f t="shared" si="11"/>
        <v>0</v>
      </c>
      <c r="Z55" s="363">
        <f t="shared" si="11"/>
        <v>0</v>
      </c>
      <c r="AA55" s="363">
        <f t="shared" si="11"/>
        <v>0</v>
      </c>
      <c r="AB55" s="363">
        <f t="shared" si="11"/>
        <v>0</v>
      </c>
      <c r="AC55" s="363">
        <f t="shared" si="11"/>
        <v>0</v>
      </c>
      <c r="AD55" s="363">
        <f t="shared" si="11"/>
        <v>0</v>
      </c>
      <c r="AE55" s="363">
        <f t="shared" si="11"/>
        <v>0</v>
      </c>
      <c r="AF55" s="363">
        <f t="shared" si="11"/>
        <v>0</v>
      </c>
      <c r="AG55" s="363">
        <f t="shared" si="11"/>
        <v>0</v>
      </c>
      <c r="AH55" s="363">
        <f t="shared" si="11"/>
        <v>0</v>
      </c>
      <c r="AI55" s="363">
        <f t="shared" si="11"/>
        <v>0</v>
      </c>
      <c r="AJ55" s="363">
        <f t="shared" si="11"/>
        <v>0</v>
      </c>
      <c r="AK55" s="363">
        <f t="shared" si="11"/>
        <v>0</v>
      </c>
      <c r="AL55" s="363">
        <f t="shared" si="11"/>
        <v>0</v>
      </c>
      <c r="AM55" s="363">
        <f t="shared" si="11"/>
        <v>0</v>
      </c>
      <c r="AN55" s="363">
        <f t="shared" si="11"/>
        <v>0</v>
      </c>
      <c r="AO55" s="363">
        <f t="shared" si="11"/>
        <v>0</v>
      </c>
      <c r="AP55" s="363">
        <f t="shared" si="11"/>
        <v>0</v>
      </c>
      <c r="AQ55" s="363">
        <f t="shared" si="11"/>
        <v>0</v>
      </c>
      <c r="AR55" s="363">
        <f t="shared" si="11"/>
        <v>0</v>
      </c>
      <c r="AS55" s="363">
        <f t="shared" si="11"/>
        <v>0</v>
      </c>
      <c r="AT55" s="363">
        <f t="shared" si="11"/>
        <v>0</v>
      </c>
      <c r="AU55" s="363">
        <f t="shared" si="11"/>
        <v>0</v>
      </c>
      <c r="AV55" s="363">
        <f t="shared" si="11"/>
        <v>0</v>
      </c>
    </row>
    <row r="56" spans="1:48" x14ac:dyDescent="0.25">
      <c r="A56" s="350" t="s">
        <v>1445</v>
      </c>
      <c r="B56" t="s">
        <v>229</v>
      </c>
      <c r="C56" t="s">
        <v>875</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f t="shared" si="12"/>
        <v>0</v>
      </c>
      <c r="O56" s="363">
        <f t="shared" si="2"/>
        <v>0</v>
      </c>
      <c r="P56" s="363">
        <f t="shared" si="11"/>
        <v>0</v>
      </c>
      <c r="Q56" s="363">
        <f t="shared" si="11"/>
        <v>0</v>
      </c>
      <c r="R56" s="363">
        <f t="shared" si="11"/>
        <v>0</v>
      </c>
      <c r="S56" s="363">
        <f t="shared" si="11"/>
        <v>0</v>
      </c>
      <c r="T56" s="363">
        <f t="shared" si="11"/>
        <v>0</v>
      </c>
      <c r="U56" s="363">
        <f t="shared" si="11"/>
        <v>0</v>
      </c>
      <c r="V56" s="363">
        <f t="shared" si="11"/>
        <v>0</v>
      </c>
      <c r="W56" s="363">
        <f t="shared" si="11"/>
        <v>0</v>
      </c>
      <c r="X56" s="363">
        <f t="shared" si="11"/>
        <v>0</v>
      </c>
      <c r="Y56" s="363">
        <f t="shared" si="11"/>
        <v>0</v>
      </c>
      <c r="Z56" s="363">
        <f t="shared" si="11"/>
        <v>0</v>
      </c>
      <c r="AA56" s="363">
        <f t="shared" si="11"/>
        <v>0</v>
      </c>
      <c r="AB56" s="363">
        <f t="shared" si="11"/>
        <v>0</v>
      </c>
      <c r="AC56" s="363">
        <f t="shared" si="11"/>
        <v>0</v>
      </c>
      <c r="AD56" s="363">
        <f t="shared" si="11"/>
        <v>0</v>
      </c>
      <c r="AE56" s="363">
        <f t="shared" si="11"/>
        <v>0</v>
      </c>
      <c r="AF56" s="363">
        <f t="shared" si="11"/>
        <v>0</v>
      </c>
      <c r="AG56" s="363">
        <f t="shared" si="11"/>
        <v>0</v>
      </c>
      <c r="AH56" s="363">
        <f t="shared" ref="P56:AV64" si="13">IFERROR(IF($N56-$D56&gt;=0,($N56-$D56)/COUNT($E$1:$N$1)+AG56,$F410*$E410^AH$1),0)</f>
        <v>0</v>
      </c>
      <c r="AI56" s="363">
        <f t="shared" si="13"/>
        <v>0</v>
      </c>
      <c r="AJ56" s="363">
        <f t="shared" si="13"/>
        <v>0</v>
      </c>
      <c r="AK56" s="363">
        <f t="shared" si="13"/>
        <v>0</v>
      </c>
      <c r="AL56" s="363">
        <f t="shared" si="13"/>
        <v>0</v>
      </c>
      <c r="AM56" s="363">
        <f t="shared" si="13"/>
        <v>0</v>
      </c>
      <c r="AN56" s="363">
        <f t="shared" si="13"/>
        <v>0</v>
      </c>
      <c r="AO56" s="363">
        <f t="shared" si="13"/>
        <v>0</v>
      </c>
      <c r="AP56" s="363">
        <f t="shared" si="13"/>
        <v>0</v>
      </c>
      <c r="AQ56" s="363">
        <f t="shared" si="13"/>
        <v>0</v>
      </c>
      <c r="AR56" s="363">
        <f t="shared" si="13"/>
        <v>0</v>
      </c>
      <c r="AS56" s="363">
        <f t="shared" si="13"/>
        <v>0</v>
      </c>
      <c r="AT56" s="363">
        <f t="shared" si="13"/>
        <v>0</v>
      </c>
      <c r="AU56" s="363">
        <f t="shared" si="13"/>
        <v>0</v>
      </c>
      <c r="AV56" s="363">
        <f t="shared" si="13"/>
        <v>0</v>
      </c>
    </row>
    <row r="57" spans="1:48" x14ac:dyDescent="0.25">
      <c r="A57" s="351" t="s">
        <v>1724</v>
      </c>
      <c r="B57" t="s">
        <v>295</v>
      </c>
      <c r="C57" t="s">
        <v>875</v>
      </c>
      <c r="D57">
        <f t="shared" si="12"/>
        <v>0</v>
      </c>
      <c r="E57">
        <f t="shared" si="12"/>
        <v>0</v>
      </c>
      <c r="F57">
        <f t="shared" si="12"/>
        <v>0</v>
      </c>
      <c r="G57">
        <f t="shared" si="12"/>
        <v>0</v>
      </c>
      <c r="H57">
        <f t="shared" si="12"/>
        <v>0</v>
      </c>
      <c r="I57">
        <f t="shared" si="12"/>
        <v>0</v>
      </c>
      <c r="J57">
        <f t="shared" si="12"/>
        <v>0</v>
      </c>
      <c r="K57">
        <f t="shared" si="12"/>
        <v>0</v>
      </c>
      <c r="L57">
        <f t="shared" si="12"/>
        <v>0</v>
      </c>
      <c r="M57">
        <f t="shared" si="12"/>
        <v>0</v>
      </c>
      <c r="N57">
        <f t="shared" si="12"/>
        <v>0</v>
      </c>
      <c r="O57" s="363">
        <f t="shared" si="2"/>
        <v>0</v>
      </c>
      <c r="P57" s="363">
        <f t="shared" si="13"/>
        <v>0</v>
      </c>
      <c r="Q57" s="363">
        <f t="shared" si="13"/>
        <v>0</v>
      </c>
      <c r="R57" s="363">
        <f t="shared" si="13"/>
        <v>0</v>
      </c>
      <c r="S57" s="363">
        <f t="shared" si="13"/>
        <v>0</v>
      </c>
      <c r="T57" s="363">
        <f t="shared" si="13"/>
        <v>0</v>
      </c>
      <c r="U57" s="363">
        <f t="shared" si="13"/>
        <v>0</v>
      </c>
      <c r="V57" s="363">
        <f t="shared" si="13"/>
        <v>0</v>
      </c>
      <c r="W57" s="363">
        <f t="shared" si="13"/>
        <v>0</v>
      </c>
      <c r="X57" s="363">
        <f t="shared" si="13"/>
        <v>0</v>
      </c>
      <c r="Y57" s="363">
        <f t="shared" si="13"/>
        <v>0</v>
      </c>
      <c r="Z57" s="363">
        <f t="shared" si="13"/>
        <v>0</v>
      </c>
      <c r="AA57" s="363">
        <f t="shared" si="13"/>
        <v>0</v>
      </c>
      <c r="AB57" s="363">
        <f t="shared" si="13"/>
        <v>0</v>
      </c>
      <c r="AC57" s="363">
        <f t="shared" si="13"/>
        <v>0</v>
      </c>
      <c r="AD57" s="363">
        <f t="shared" si="13"/>
        <v>0</v>
      </c>
      <c r="AE57" s="363">
        <f t="shared" si="13"/>
        <v>0</v>
      </c>
      <c r="AF57" s="363">
        <f t="shared" si="13"/>
        <v>0</v>
      </c>
      <c r="AG57" s="363">
        <f t="shared" si="13"/>
        <v>0</v>
      </c>
      <c r="AH57" s="363">
        <f t="shared" si="13"/>
        <v>0</v>
      </c>
      <c r="AI57" s="363">
        <f t="shared" si="13"/>
        <v>0</v>
      </c>
      <c r="AJ57" s="363">
        <f t="shared" si="13"/>
        <v>0</v>
      </c>
      <c r="AK57" s="363">
        <f t="shared" si="13"/>
        <v>0</v>
      </c>
      <c r="AL57" s="363">
        <f t="shared" si="13"/>
        <v>0</v>
      </c>
      <c r="AM57" s="363">
        <f t="shared" si="13"/>
        <v>0</v>
      </c>
      <c r="AN57" s="363">
        <f t="shared" si="13"/>
        <v>0</v>
      </c>
      <c r="AO57" s="363">
        <f t="shared" si="13"/>
        <v>0</v>
      </c>
      <c r="AP57" s="363">
        <f t="shared" si="13"/>
        <v>0</v>
      </c>
      <c r="AQ57" s="363">
        <f t="shared" si="13"/>
        <v>0</v>
      </c>
      <c r="AR57" s="363">
        <f t="shared" si="13"/>
        <v>0</v>
      </c>
      <c r="AS57" s="363">
        <f t="shared" si="13"/>
        <v>0</v>
      </c>
      <c r="AT57" s="363">
        <f t="shared" si="13"/>
        <v>0</v>
      </c>
      <c r="AU57" s="363">
        <f t="shared" si="13"/>
        <v>0</v>
      </c>
      <c r="AV57" s="363">
        <f t="shared" si="13"/>
        <v>0</v>
      </c>
    </row>
    <row r="58" spans="1:48" x14ac:dyDescent="0.25">
      <c r="A58" s="350" t="s">
        <v>1447</v>
      </c>
      <c r="B58" t="s">
        <v>229</v>
      </c>
      <c r="C58" t="s">
        <v>875</v>
      </c>
      <c r="D58">
        <f t="shared" si="12"/>
        <v>0</v>
      </c>
      <c r="E58">
        <f t="shared" si="12"/>
        <v>0</v>
      </c>
      <c r="F58">
        <f t="shared" si="12"/>
        <v>0</v>
      </c>
      <c r="G58">
        <f t="shared" si="12"/>
        <v>0</v>
      </c>
      <c r="H58">
        <f t="shared" si="12"/>
        <v>0</v>
      </c>
      <c r="I58">
        <f t="shared" si="12"/>
        <v>0</v>
      </c>
      <c r="J58">
        <f t="shared" si="12"/>
        <v>0</v>
      </c>
      <c r="K58">
        <f t="shared" si="12"/>
        <v>0</v>
      </c>
      <c r="L58">
        <f t="shared" si="12"/>
        <v>0</v>
      </c>
      <c r="M58">
        <f t="shared" si="12"/>
        <v>0</v>
      </c>
      <c r="N58">
        <f t="shared" si="12"/>
        <v>0</v>
      </c>
      <c r="O58" s="363">
        <f t="shared" si="2"/>
        <v>0</v>
      </c>
      <c r="P58" s="363">
        <f t="shared" si="13"/>
        <v>0</v>
      </c>
      <c r="Q58" s="363">
        <f t="shared" si="13"/>
        <v>0</v>
      </c>
      <c r="R58" s="363">
        <f t="shared" si="13"/>
        <v>0</v>
      </c>
      <c r="S58" s="363">
        <f t="shared" si="13"/>
        <v>0</v>
      </c>
      <c r="T58" s="363">
        <f t="shared" si="13"/>
        <v>0</v>
      </c>
      <c r="U58" s="363">
        <f t="shared" si="13"/>
        <v>0</v>
      </c>
      <c r="V58" s="363">
        <f t="shared" si="13"/>
        <v>0</v>
      </c>
      <c r="W58" s="363">
        <f t="shared" si="13"/>
        <v>0</v>
      </c>
      <c r="X58" s="363">
        <f t="shared" si="13"/>
        <v>0</v>
      </c>
      <c r="Y58" s="363">
        <f t="shared" si="13"/>
        <v>0</v>
      </c>
      <c r="Z58" s="363">
        <f t="shared" si="13"/>
        <v>0</v>
      </c>
      <c r="AA58" s="363">
        <f t="shared" si="13"/>
        <v>0</v>
      </c>
      <c r="AB58" s="363">
        <f t="shared" si="13"/>
        <v>0</v>
      </c>
      <c r="AC58" s="363">
        <f t="shared" si="13"/>
        <v>0</v>
      </c>
      <c r="AD58" s="363">
        <f t="shared" si="13"/>
        <v>0</v>
      </c>
      <c r="AE58" s="363">
        <f t="shared" si="13"/>
        <v>0</v>
      </c>
      <c r="AF58" s="363">
        <f t="shared" si="13"/>
        <v>0</v>
      </c>
      <c r="AG58" s="363">
        <f t="shared" si="13"/>
        <v>0</v>
      </c>
      <c r="AH58" s="363">
        <f t="shared" si="13"/>
        <v>0</v>
      </c>
      <c r="AI58" s="363">
        <f t="shared" si="13"/>
        <v>0</v>
      </c>
      <c r="AJ58" s="363">
        <f t="shared" si="13"/>
        <v>0</v>
      </c>
      <c r="AK58" s="363">
        <f t="shared" si="13"/>
        <v>0</v>
      </c>
      <c r="AL58" s="363">
        <f t="shared" si="13"/>
        <v>0</v>
      </c>
      <c r="AM58" s="363">
        <f t="shared" si="13"/>
        <v>0</v>
      </c>
      <c r="AN58" s="363">
        <f t="shared" si="13"/>
        <v>0</v>
      </c>
      <c r="AO58" s="363">
        <f t="shared" si="13"/>
        <v>0</v>
      </c>
      <c r="AP58" s="363">
        <f t="shared" si="13"/>
        <v>0</v>
      </c>
      <c r="AQ58" s="363">
        <f t="shared" si="13"/>
        <v>0</v>
      </c>
      <c r="AR58" s="363">
        <f t="shared" si="13"/>
        <v>0</v>
      </c>
      <c r="AS58" s="363">
        <f t="shared" si="13"/>
        <v>0</v>
      </c>
      <c r="AT58" s="363">
        <f t="shared" si="13"/>
        <v>0</v>
      </c>
      <c r="AU58" s="363">
        <f t="shared" si="13"/>
        <v>0</v>
      </c>
      <c r="AV58" s="363">
        <f t="shared" si="13"/>
        <v>0</v>
      </c>
    </row>
    <row r="59" spans="1:48" x14ac:dyDescent="0.25">
      <c r="A59" s="350" t="s">
        <v>1448</v>
      </c>
      <c r="B59" t="s">
        <v>228</v>
      </c>
      <c r="C59" t="s">
        <v>875</v>
      </c>
      <c r="D59">
        <f t="shared" si="12"/>
        <v>0</v>
      </c>
      <c r="E59">
        <f t="shared" si="12"/>
        <v>0</v>
      </c>
      <c r="F59">
        <f t="shared" si="12"/>
        <v>0</v>
      </c>
      <c r="G59">
        <f t="shared" si="12"/>
        <v>0</v>
      </c>
      <c r="H59">
        <f t="shared" si="12"/>
        <v>0</v>
      </c>
      <c r="I59">
        <f t="shared" si="12"/>
        <v>0</v>
      </c>
      <c r="J59">
        <f t="shared" si="12"/>
        <v>0</v>
      </c>
      <c r="K59">
        <f t="shared" si="12"/>
        <v>0</v>
      </c>
      <c r="L59">
        <f t="shared" si="12"/>
        <v>0</v>
      </c>
      <c r="M59">
        <f t="shared" si="12"/>
        <v>0</v>
      </c>
      <c r="N59">
        <f t="shared" si="12"/>
        <v>0</v>
      </c>
      <c r="O59" s="363">
        <f t="shared" si="2"/>
        <v>0</v>
      </c>
      <c r="P59" s="363">
        <f t="shared" si="13"/>
        <v>0</v>
      </c>
      <c r="Q59" s="363">
        <f t="shared" si="13"/>
        <v>0</v>
      </c>
      <c r="R59" s="363">
        <f t="shared" si="13"/>
        <v>0</v>
      </c>
      <c r="S59" s="363">
        <f t="shared" si="13"/>
        <v>0</v>
      </c>
      <c r="T59" s="363">
        <f t="shared" si="13"/>
        <v>0</v>
      </c>
      <c r="U59" s="363">
        <f t="shared" si="13"/>
        <v>0</v>
      </c>
      <c r="V59" s="363">
        <f t="shared" si="13"/>
        <v>0</v>
      </c>
      <c r="W59" s="363">
        <f t="shared" si="13"/>
        <v>0</v>
      </c>
      <c r="X59" s="363">
        <f t="shared" si="13"/>
        <v>0</v>
      </c>
      <c r="Y59" s="363">
        <f t="shared" si="13"/>
        <v>0</v>
      </c>
      <c r="Z59" s="363">
        <f t="shared" si="13"/>
        <v>0</v>
      </c>
      <c r="AA59" s="363">
        <f t="shared" si="13"/>
        <v>0</v>
      </c>
      <c r="AB59" s="363">
        <f t="shared" si="13"/>
        <v>0</v>
      </c>
      <c r="AC59" s="363">
        <f t="shared" si="13"/>
        <v>0</v>
      </c>
      <c r="AD59" s="363">
        <f t="shared" si="13"/>
        <v>0</v>
      </c>
      <c r="AE59" s="363">
        <f t="shared" si="13"/>
        <v>0</v>
      </c>
      <c r="AF59" s="363">
        <f t="shared" si="13"/>
        <v>0</v>
      </c>
      <c r="AG59" s="363">
        <f t="shared" si="13"/>
        <v>0</v>
      </c>
      <c r="AH59" s="363">
        <f t="shared" si="13"/>
        <v>0</v>
      </c>
      <c r="AI59" s="363">
        <f t="shared" si="13"/>
        <v>0</v>
      </c>
      <c r="AJ59" s="363">
        <f t="shared" si="13"/>
        <v>0</v>
      </c>
      <c r="AK59" s="363">
        <f t="shared" si="13"/>
        <v>0</v>
      </c>
      <c r="AL59" s="363">
        <f t="shared" si="13"/>
        <v>0</v>
      </c>
      <c r="AM59" s="363">
        <f t="shared" si="13"/>
        <v>0</v>
      </c>
      <c r="AN59" s="363">
        <f t="shared" si="13"/>
        <v>0</v>
      </c>
      <c r="AO59" s="363">
        <f t="shared" si="13"/>
        <v>0</v>
      </c>
      <c r="AP59" s="363">
        <f t="shared" si="13"/>
        <v>0</v>
      </c>
      <c r="AQ59" s="363">
        <f t="shared" si="13"/>
        <v>0</v>
      </c>
      <c r="AR59" s="363">
        <f t="shared" si="13"/>
        <v>0</v>
      </c>
      <c r="AS59" s="363">
        <f t="shared" si="13"/>
        <v>0</v>
      </c>
      <c r="AT59" s="363">
        <f t="shared" si="13"/>
        <v>0</v>
      </c>
      <c r="AU59" s="363">
        <f t="shared" si="13"/>
        <v>0</v>
      </c>
      <c r="AV59" s="363">
        <f t="shared" si="13"/>
        <v>0</v>
      </c>
    </row>
    <row r="60" spans="1:48" x14ac:dyDescent="0.25">
      <c r="A60" s="350" t="s">
        <v>1449</v>
      </c>
      <c r="B60" t="s">
        <v>295</v>
      </c>
      <c r="C60" t="s">
        <v>875</v>
      </c>
      <c r="D60">
        <f t="shared" ref="D60:N74" si="14">IFERROR(INDEX($B$232:$AB$244,MATCH($A60,$A$232:$A$244,0),MATCH(D$1,$B$176:$AB$176,0)),0)</f>
        <v>0</v>
      </c>
      <c r="E60">
        <f t="shared" si="14"/>
        <v>0</v>
      </c>
      <c r="F60">
        <f t="shared" si="14"/>
        <v>0</v>
      </c>
      <c r="G60">
        <f t="shared" si="14"/>
        <v>0</v>
      </c>
      <c r="H60">
        <f t="shared" si="14"/>
        <v>0</v>
      </c>
      <c r="I60">
        <f t="shared" si="14"/>
        <v>0</v>
      </c>
      <c r="J60">
        <f t="shared" si="14"/>
        <v>0</v>
      </c>
      <c r="K60">
        <f t="shared" si="14"/>
        <v>0</v>
      </c>
      <c r="L60">
        <f t="shared" si="14"/>
        <v>0</v>
      </c>
      <c r="M60">
        <f t="shared" si="14"/>
        <v>0</v>
      </c>
      <c r="N60">
        <f t="shared" si="14"/>
        <v>0</v>
      </c>
      <c r="O60" s="363">
        <f t="shared" si="2"/>
        <v>0</v>
      </c>
      <c r="P60" s="363">
        <f t="shared" si="13"/>
        <v>0</v>
      </c>
      <c r="Q60" s="363">
        <f t="shared" si="13"/>
        <v>0</v>
      </c>
      <c r="R60" s="363">
        <f t="shared" si="13"/>
        <v>0</v>
      </c>
      <c r="S60" s="363">
        <f t="shared" si="13"/>
        <v>0</v>
      </c>
      <c r="T60" s="363">
        <f t="shared" si="13"/>
        <v>0</v>
      </c>
      <c r="U60" s="363">
        <f t="shared" si="13"/>
        <v>0</v>
      </c>
      <c r="V60" s="363">
        <f t="shared" si="13"/>
        <v>0</v>
      </c>
      <c r="W60" s="363">
        <f t="shared" si="13"/>
        <v>0</v>
      </c>
      <c r="X60" s="363">
        <f t="shared" si="13"/>
        <v>0</v>
      </c>
      <c r="Y60" s="363">
        <f t="shared" si="13"/>
        <v>0</v>
      </c>
      <c r="Z60" s="363">
        <f t="shared" si="13"/>
        <v>0</v>
      </c>
      <c r="AA60" s="363">
        <f t="shared" si="13"/>
        <v>0</v>
      </c>
      <c r="AB60" s="363">
        <f t="shared" si="13"/>
        <v>0</v>
      </c>
      <c r="AC60" s="363">
        <f t="shared" si="13"/>
        <v>0</v>
      </c>
      <c r="AD60" s="363">
        <f t="shared" si="13"/>
        <v>0</v>
      </c>
      <c r="AE60" s="363">
        <f t="shared" si="13"/>
        <v>0</v>
      </c>
      <c r="AF60" s="363">
        <f t="shared" si="13"/>
        <v>0</v>
      </c>
      <c r="AG60" s="363">
        <f t="shared" si="13"/>
        <v>0</v>
      </c>
      <c r="AH60" s="363">
        <f t="shared" si="13"/>
        <v>0</v>
      </c>
      <c r="AI60" s="363">
        <f t="shared" si="13"/>
        <v>0</v>
      </c>
      <c r="AJ60" s="363">
        <f t="shared" si="13"/>
        <v>0</v>
      </c>
      <c r="AK60" s="363">
        <f t="shared" si="13"/>
        <v>0</v>
      </c>
      <c r="AL60" s="363">
        <f t="shared" si="13"/>
        <v>0</v>
      </c>
      <c r="AM60" s="363">
        <f t="shared" si="13"/>
        <v>0</v>
      </c>
      <c r="AN60" s="363">
        <f t="shared" si="13"/>
        <v>0</v>
      </c>
      <c r="AO60" s="363">
        <f t="shared" si="13"/>
        <v>0</v>
      </c>
      <c r="AP60" s="363">
        <f t="shared" si="13"/>
        <v>0</v>
      </c>
      <c r="AQ60" s="363">
        <f t="shared" si="13"/>
        <v>0</v>
      </c>
      <c r="AR60" s="363">
        <f t="shared" si="13"/>
        <v>0</v>
      </c>
      <c r="AS60" s="363">
        <f t="shared" si="13"/>
        <v>0</v>
      </c>
      <c r="AT60" s="363">
        <f t="shared" si="13"/>
        <v>0</v>
      </c>
      <c r="AU60" s="363">
        <f t="shared" si="13"/>
        <v>0</v>
      </c>
      <c r="AV60" s="363">
        <f t="shared" si="13"/>
        <v>0</v>
      </c>
    </row>
    <row r="61" spans="1:48" x14ac:dyDescent="0.25">
      <c r="A61" s="350" t="s">
        <v>1450</v>
      </c>
      <c r="B61" t="s">
        <v>295</v>
      </c>
      <c r="C61" t="s">
        <v>875</v>
      </c>
      <c r="D61">
        <f t="shared" si="14"/>
        <v>0</v>
      </c>
      <c r="E61">
        <f t="shared" si="14"/>
        <v>0</v>
      </c>
      <c r="F61">
        <f t="shared" si="14"/>
        <v>0</v>
      </c>
      <c r="G61">
        <f t="shared" si="14"/>
        <v>0</v>
      </c>
      <c r="H61">
        <f t="shared" si="14"/>
        <v>0</v>
      </c>
      <c r="I61">
        <f t="shared" si="14"/>
        <v>0</v>
      </c>
      <c r="J61">
        <f t="shared" si="14"/>
        <v>0</v>
      </c>
      <c r="K61">
        <f t="shared" si="14"/>
        <v>0</v>
      </c>
      <c r="L61">
        <f t="shared" si="14"/>
        <v>0</v>
      </c>
      <c r="M61">
        <f t="shared" si="14"/>
        <v>0</v>
      </c>
      <c r="N61">
        <f t="shared" si="14"/>
        <v>0</v>
      </c>
      <c r="O61" s="363">
        <f t="shared" si="2"/>
        <v>0</v>
      </c>
      <c r="P61" s="363">
        <f t="shared" si="13"/>
        <v>0</v>
      </c>
      <c r="Q61" s="363">
        <f t="shared" si="13"/>
        <v>0</v>
      </c>
      <c r="R61" s="363">
        <f t="shared" si="13"/>
        <v>0</v>
      </c>
      <c r="S61" s="363">
        <f t="shared" si="13"/>
        <v>0</v>
      </c>
      <c r="T61" s="363">
        <f t="shared" si="13"/>
        <v>0</v>
      </c>
      <c r="U61" s="363">
        <f t="shared" si="13"/>
        <v>0</v>
      </c>
      <c r="V61" s="363">
        <f t="shared" si="13"/>
        <v>0</v>
      </c>
      <c r="W61" s="363">
        <f t="shared" si="13"/>
        <v>0</v>
      </c>
      <c r="X61" s="363">
        <f t="shared" si="13"/>
        <v>0</v>
      </c>
      <c r="Y61" s="363">
        <f t="shared" si="13"/>
        <v>0</v>
      </c>
      <c r="Z61" s="363">
        <f t="shared" si="13"/>
        <v>0</v>
      </c>
      <c r="AA61" s="363">
        <f t="shared" si="13"/>
        <v>0</v>
      </c>
      <c r="AB61" s="363">
        <f t="shared" si="13"/>
        <v>0</v>
      </c>
      <c r="AC61" s="363">
        <f t="shared" si="13"/>
        <v>0</v>
      </c>
      <c r="AD61" s="363">
        <f t="shared" si="13"/>
        <v>0</v>
      </c>
      <c r="AE61" s="363">
        <f t="shared" si="13"/>
        <v>0</v>
      </c>
      <c r="AF61" s="363">
        <f t="shared" si="13"/>
        <v>0</v>
      </c>
      <c r="AG61" s="363">
        <f t="shared" si="13"/>
        <v>0</v>
      </c>
      <c r="AH61" s="363">
        <f t="shared" si="13"/>
        <v>0</v>
      </c>
      <c r="AI61" s="363">
        <f t="shared" si="13"/>
        <v>0</v>
      </c>
      <c r="AJ61" s="363">
        <f t="shared" si="13"/>
        <v>0</v>
      </c>
      <c r="AK61" s="363">
        <f t="shared" si="13"/>
        <v>0</v>
      </c>
      <c r="AL61" s="363">
        <f t="shared" si="13"/>
        <v>0</v>
      </c>
      <c r="AM61" s="363">
        <f t="shared" si="13"/>
        <v>0</v>
      </c>
      <c r="AN61" s="363">
        <f t="shared" si="13"/>
        <v>0</v>
      </c>
      <c r="AO61" s="363">
        <f t="shared" si="13"/>
        <v>0</v>
      </c>
      <c r="AP61" s="363">
        <f t="shared" si="13"/>
        <v>0</v>
      </c>
      <c r="AQ61" s="363">
        <f t="shared" si="13"/>
        <v>0</v>
      </c>
      <c r="AR61" s="363">
        <f t="shared" si="13"/>
        <v>0</v>
      </c>
      <c r="AS61" s="363">
        <f t="shared" si="13"/>
        <v>0</v>
      </c>
      <c r="AT61" s="363">
        <f t="shared" si="13"/>
        <v>0</v>
      </c>
      <c r="AU61" s="363">
        <f t="shared" si="13"/>
        <v>0</v>
      </c>
      <c r="AV61" s="363">
        <f t="shared" si="13"/>
        <v>0</v>
      </c>
    </row>
    <row r="62" spans="1:48" x14ac:dyDescent="0.25">
      <c r="A62" s="350" t="s">
        <v>1451</v>
      </c>
      <c r="B62" t="s">
        <v>295</v>
      </c>
      <c r="C62" t="s">
        <v>875</v>
      </c>
      <c r="D62">
        <f t="shared" si="14"/>
        <v>0</v>
      </c>
      <c r="E62">
        <f t="shared" si="14"/>
        <v>0</v>
      </c>
      <c r="F62">
        <f t="shared" si="14"/>
        <v>0</v>
      </c>
      <c r="G62">
        <f t="shared" si="14"/>
        <v>0</v>
      </c>
      <c r="H62">
        <f t="shared" si="14"/>
        <v>0</v>
      </c>
      <c r="I62">
        <f t="shared" si="14"/>
        <v>0</v>
      </c>
      <c r="J62">
        <f t="shared" si="14"/>
        <v>0</v>
      </c>
      <c r="K62">
        <f t="shared" si="14"/>
        <v>0</v>
      </c>
      <c r="L62">
        <f t="shared" si="14"/>
        <v>0</v>
      </c>
      <c r="M62">
        <f t="shared" si="14"/>
        <v>0</v>
      </c>
      <c r="N62">
        <f t="shared" si="14"/>
        <v>0</v>
      </c>
      <c r="O62" s="363">
        <f t="shared" si="2"/>
        <v>0</v>
      </c>
      <c r="P62" s="363">
        <f t="shared" si="13"/>
        <v>0</v>
      </c>
      <c r="Q62" s="363">
        <f t="shared" si="13"/>
        <v>0</v>
      </c>
      <c r="R62" s="363">
        <f t="shared" si="13"/>
        <v>0</v>
      </c>
      <c r="S62" s="363">
        <f t="shared" si="13"/>
        <v>0</v>
      </c>
      <c r="T62" s="363">
        <f t="shared" si="13"/>
        <v>0</v>
      </c>
      <c r="U62" s="363">
        <f t="shared" si="13"/>
        <v>0</v>
      </c>
      <c r="V62" s="363">
        <f t="shared" si="13"/>
        <v>0</v>
      </c>
      <c r="W62" s="363">
        <f t="shared" si="13"/>
        <v>0</v>
      </c>
      <c r="X62" s="363">
        <f t="shared" si="13"/>
        <v>0</v>
      </c>
      <c r="Y62" s="363">
        <f t="shared" si="13"/>
        <v>0</v>
      </c>
      <c r="Z62" s="363">
        <f t="shared" si="13"/>
        <v>0</v>
      </c>
      <c r="AA62" s="363">
        <f t="shared" si="13"/>
        <v>0</v>
      </c>
      <c r="AB62" s="363">
        <f t="shared" si="13"/>
        <v>0</v>
      </c>
      <c r="AC62" s="363">
        <f t="shared" si="13"/>
        <v>0</v>
      </c>
      <c r="AD62" s="363">
        <f t="shared" si="13"/>
        <v>0</v>
      </c>
      <c r="AE62" s="363">
        <f t="shared" si="13"/>
        <v>0</v>
      </c>
      <c r="AF62" s="363">
        <f t="shared" si="13"/>
        <v>0</v>
      </c>
      <c r="AG62" s="363">
        <f t="shared" si="13"/>
        <v>0</v>
      </c>
      <c r="AH62" s="363">
        <f t="shared" si="13"/>
        <v>0</v>
      </c>
      <c r="AI62" s="363">
        <f t="shared" si="13"/>
        <v>0</v>
      </c>
      <c r="AJ62" s="363">
        <f t="shared" si="13"/>
        <v>0</v>
      </c>
      <c r="AK62" s="363">
        <f t="shared" si="13"/>
        <v>0</v>
      </c>
      <c r="AL62" s="363">
        <f t="shared" si="13"/>
        <v>0</v>
      </c>
      <c r="AM62" s="363">
        <f t="shared" si="13"/>
        <v>0</v>
      </c>
      <c r="AN62" s="363">
        <f t="shared" si="13"/>
        <v>0</v>
      </c>
      <c r="AO62" s="363">
        <f t="shared" si="13"/>
        <v>0</v>
      </c>
      <c r="AP62" s="363">
        <f t="shared" si="13"/>
        <v>0</v>
      </c>
      <c r="AQ62" s="363">
        <f t="shared" si="13"/>
        <v>0</v>
      </c>
      <c r="AR62" s="363">
        <f t="shared" si="13"/>
        <v>0</v>
      </c>
      <c r="AS62" s="363">
        <f t="shared" si="13"/>
        <v>0</v>
      </c>
      <c r="AT62" s="363">
        <f t="shared" si="13"/>
        <v>0</v>
      </c>
      <c r="AU62" s="363">
        <f t="shared" si="13"/>
        <v>0</v>
      </c>
      <c r="AV62" s="363">
        <f t="shared" si="13"/>
        <v>0</v>
      </c>
    </row>
    <row r="63" spans="1:48" x14ac:dyDescent="0.25">
      <c r="A63" s="350" t="s">
        <v>1452</v>
      </c>
      <c r="B63" t="s">
        <v>229</v>
      </c>
      <c r="C63" t="s">
        <v>875</v>
      </c>
      <c r="D63">
        <f t="shared" si="14"/>
        <v>0</v>
      </c>
      <c r="E63">
        <f t="shared" si="14"/>
        <v>0</v>
      </c>
      <c r="F63">
        <f t="shared" si="14"/>
        <v>0</v>
      </c>
      <c r="G63">
        <f t="shared" si="14"/>
        <v>0</v>
      </c>
      <c r="H63">
        <f t="shared" si="14"/>
        <v>0</v>
      </c>
      <c r="I63">
        <f t="shared" si="14"/>
        <v>0</v>
      </c>
      <c r="J63">
        <f t="shared" si="14"/>
        <v>0</v>
      </c>
      <c r="K63">
        <f t="shared" si="14"/>
        <v>0</v>
      </c>
      <c r="L63">
        <f t="shared" si="14"/>
        <v>0</v>
      </c>
      <c r="M63">
        <f t="shared" si="14"/>
        <v>0</v>
      </c>
      <c r="N63">
        <f t="shared" si="14"/>
        <v>0</v>
      </c>
      <c r="O63" s="363">
        <f t="shared" si="2"/>
        <v>0</v>
      </c>
      <c r="P63" s="363">
        <f t="shared" si="13"/>
        <v>0</v>
      </c>
      <c r="Q63" s="363">
        <f t="shared" si="13"/>
        <v>0</v>
      </c>
      <c r="R63" s="363">
        <f t="shared" si="13"/>
        <v>0</v>
      </c>
      <c r="S63" s="363">
        <f t="shared" si="13"/>
        <v>0</v>
      </c>
      <c r="T63" s="363">
        <f t="shared" si="13"/>
        <v>0</v>
      </c>
      <c r="U63" s="363">
        <f t="shared" si="13"/>
        <v>0</v>
      </c>
      <c r="V63" s="363">
        <f t="shared" si="13"/>
        <v>0</v>
      </c>
      <c r="W63" s="363">
        <f t="shared" si="13"/>
        <v>0</v>
      </c>
      <c r="X63" s="363">
        <f t="shared" si="13"/>
        <v>0</v>
      </c>
      <c r="Y63" s="363">
        <f t="shared" si="13"/>
        <v>0</v>
      </c>
      <c r="Z63" s="363">
        <f t="shared" si="13"/>
        <v>0</v>
      </c>
      <c r="AA63" s="363">
        <f t="shared" si="13"/>
        <v>0</v>
      </c>
      <c r="AB63" s="363">
        <f t="shared" si="13"/>
        <v>0</v>
      </c>
      <c r="AC63" s="363">
        <f t="shared" si="13"/>
        <v>0</v>
      </c>
      <c r="AD63" s="363">
        <f t="shared" si="13"/>
        <v>0</v>
      </c>
      <c r="AE63" s="363">
        <f t="shared" si="13"/>
        <v>0</v>
      </c>
      <c r="AF63" s="363">
        <f t="shared" si="13"/>
        <v>0</v>
      </c>
      <c r="AG63" s="363">
        <f t="shared" si="13"/>
        <v>0</v>
      </c>
      <c r="AH63" s="363">
        <f t="shared" si="13"/>
        <v>0</v>
      </c>
      <c r="AI63" s="363">
        <f t="shared" si="13"/>
        <v>0</v>
      </c>
      <c r="AJ63" s="363">
        <f t="shared" si="13"/>
        <v>0</v>
      </c>
      <c r="AK63" s="363">
        <f t="shared" si="13"/>
        <v>0</v>
      </c>
      <c r="AL63" s="363">
        <f t="shared" si="13"/>
        <v>0</v>
      </c>
      <c r="AM63" s="363">
        <f t="shared" si="13"/>
        <v>0</v>
      </c>
      <c r="AN63" s="363">
        <f t="shared" si="13"/>
        <v>0</v>
      </c>
      <c r="AO63" s="363">
        <f t="shared" si="13"/>
        <v>0</v>
      </c>
      <c r="AP63" s="363">
        <f t="shared" si="13"/>
        <v>0</v>
      </c>
      <c r="AQ63" s="363">
        <f t="shared" si="13"/>
        <v>0</v>
      </c>
      <c r="AR63" s="363">
        <f t="shared" si="13"/>
        <v>0</v>
      </c>
      <c r="AS63" s="363">
        <f t="shared" si="13"/>
        <v>0</v>
      </c>
      <c r="AT63" s="363">
        <f t="shared" si="13"/>
        <v>0</v>
      </c>
      <c r="AU63" s="363">
        <f t="shared" si="13"/>
        <v>0</v>
      </c>
      <c r="AV63" s="363">
        <f t="shared" si="13"/>
        <v>0</v>
      </c>
    </row>
    <row r="64" spans="1:48" x14ac:dyDescent="0.25">
      <c r="A64" s="350" t="s">
        <v>1453</v>
      </c>
      <c r="B64" t="s">
        <v>295</v>
      </c>
      <c r="C64" t="s">
        <v>875</v>
      </c>
      <c r="D64">
        <f t="shared" si="14"/>
        <v>0</v>
      </c>
      <c r="E64">
        <f t="shared" si="14"/>
        <v>0</v>
      </c>
      <c r="F64">
        <f t="shared" si="14"/>
        <v>0</v>
      </c>
      <c r="G64">
        <f t="shared" si="14"/>
        <v>0</v>
      </c>
      <c r="H64">
        <f t="shared" si="14"/>
        <v>0</v>
      </c>
      <c r="I64">
        <f t="shared" si="14"/>
        <v>0</v>
      </c>
      <c r="J64">
        <f t="shared" si="14"/>
        <v>0</v>
      </c>
      <c r="K64">
        <f t="shared" si="14"/>
        <v>0</v>
      </c>
      <c r="L64">
        <f t="shared" si="14"/>
        <v>0</v>
      </c>
      <c r="M64">
        <f t="shared" si="14"/>
        <v>0</v>
      </c>
      <c r="N64">
        <f t="shared" si="14"/>
        <v>0</v>
      </c>
      <c r="O64" s="363">
        <f t="shared" si="2"/>
        <v>0</v>
      </c>
      <c r="P64" s="363">
        <f t="shared" si="13"/>
        <v>0</v>
      </c>
      <c r="Q64" s="363">
        <f t="shared" si="13"/>
        <v>0</v>
      </c>
      <c r="R64" s="363">
        <f t="shared" si="13"/>
        <v>0</v>
      </c>
      <c r="S64" s="363">
        <f t="shared" si="13"/>
        <v>0</v>
      </c>
      <c r="T64" s="363">
        <f t="shared" si="13"/>
        <v>0</v>
      </c>
      <c r="U64" s="363">
        <f t="shared" si="13"/>
        <v>0</v>
      </c>
      <c r="V64" s="363">
        <f t="shared" si="13"/>
        <v>0</v>
      </c>
      <c r="W64" s="363">
        <f t="shared" si="13"/>
        <v>0</v>
      </c>
      <c r="X64" s="363">
        <f t="shared" si="13"/>
        <v>0</v>
      </c>
      <c r="Y64" s="363">
        <f t="shared" ref="P64:AV66" si="15">IFERROR(IF($N64-$D64&gt;=0,($N64-$D64)/COUNT($E$1:$N$1)+X64,$F418*$E418^Y$1),0)</f>
        <v>0</v>
      </c>
      <c r="Z64" s="363">
        <f t="shared" si="15"/>
        <v>0</v>
      </c>
      <c r="AA64" s="363">
        <f t="shared" si="15"/>
        <v>0</v>
      </c>
      <c r="AB64" s="363">
        <f t="shared" si="15"/>
        <v>0</v>
      </c>
      <c r="AC64" s="363">
        <f t="shared" si="15"/>
        <v>0</v>
      </c>
      <c r="AD64" s="363">
        <f t="shared" si="15"/>
        <v>0</v>
      </c>
      <c r="AE64" s="363">
        <f t="shared" si="15"/>
        <v>0</v>
      </c>
      <c r="AF64" s="363">
        <f t="shared" si="15"/>
        <v>0</v>
      </c>
      <c r="AG64" s="363">
        <f t="shared" si="15"/>
        <v>0</v>
      </c>
      <c r="AH64" s="363">
        <f t="shared" si="15"/>
        <v>0</v>
      </c>
      <c r="AI64" s="363">
        <f t="shared" si="15"/>
        <v>0</v>
      </c>
      <c r="AJ64" s="363">
        <f t="shared" si="15"/>
        <v>0</v>
      </c>
      <c r="AK64" s="363">
        <f t="shared" si="15"/>
        <v>0</v>
      </c>
      <c r="AL64" s="363">
        <f t="shared" si="15"/>
        <v>0</v>
      </c>
      <c r="AM64" s="363">
        <f t="shared" si="15"/>
        <v>0</v>
      </c>
      <c r="AN64" s="363">
        <f t="shared" si="15"/>
        <v>0</v>
      </c>
      <c r="AO64" s="363">
        <f t="shared" si="15"/>
        <v>0</v>
      </c>
      <c r="AP64" s="363">
        <f t="shared" si="15"/>
        <v>0</v>
      </c>
      <c r="AQ64" s="363">
        <f t="shared" si="15"/>
        <v>0</v>
      </c>
      <c r="AR64" s="363">
        <f t="shared" si="15"/>
        <v>0</v>
      </c>
      <c r="AS64" s="363">
        <f t="shared" si="15"/>
        <v>0</v>
      </c>
      <c r="AT64" s="363">
        <f t="shared" si="15"/>
        <v>0</v>
      </c>
      <c r="AU64" s="363">
        <f t="shared" si="15"/>
        <v>0</v>
      </c>
      <c r="AV64" s="363">
        <f t="shared" si="15"/>
        <v>0</v>
      </c>
    </row>
    <row r="65" spans="1:48" x14ac:dyDescent="0.25">
      <c r="A65" s="350" t="s">
        <v>1454</v>
      </c>
      <c r="B65" t="s">
        <v>285</v>
      </c>
      <c r="C65" t="s">
        <v>875</v>
      </c>
      <c r="D65">
        <f t="shared" si="14"/>
        <v>0</v>
      </c>
      <c r="E65">
        <f t="shared" si="14"/>
        <v>0</v>
      </c>
      <c r="F65">
        <f t="shared" si="14"/>
        <v>0</v>
      </c>
      <c r="G65">
        <f t="shared" si="14"/>
        <v>0</v>
      </c>
      <c r="H65">
        <f t="shared" si="14"/>
        <v>0</v>
      </c>
      <c r="I65">
        <f t="shared" si="14"/>
        <v>0</v>
      </c>
      <c r="J65">
        <f t="shared" si="14"/>
        <v>0</v>
      </c>
      <c r="K65">
        <f t="shared" si="14"/>
        <v>0</v>
      </c>
      <c r="L65">
        <f t="shared" si="14"/>
        <v>0</v>
      </c>
      <c r="M65">
        <f t="shared" si="14"/>
        <v>0</v>
      </c>
      <c r="N65">
        <f t="shared" si="14"/>
        <v>0</v>
      </c>
      <c r="O65" s="363">
        <f t="shared" si="2"/>
        <v>0</v>
      </c>
      <c r="P65" s="363">
        <f t="shared" si="15"/>
        <v>0</v>
      </c>
      <c r="Q65" s="363">
        <f t="shared" si="15"/>
        <v>0</v>
      </c>
      <c r="R65" s="363">
        <f t="shared" si="15"/>
        <v>0</v>
      </c>
      <c r="S65" s="363">
        <f t="shared" si="15"/>
        <v>0</v>
      </c>
      <c r="T65" s="363">
        <f t="shared" si="15"/>
        <v>0</v>
      </c>
      <c r="U65" s="363">
        <f t="shared" si="15"/>
        <v>0</v>
      </c>
      <c r="V65" s="363">
        <f t="shared" si="15"/>
        <v>0</v>
      </c>
      <c r="W65" s="363">
        <f t="shared" si="15"/>
        <v>0</v>
      </c>
      <c r="X65" s="363">
        <f t="shared" si="15"/>
        <v>0</v>
      </c>
      <c r="Y65" s="363">
        <f t="shared" si="15"/>
        <v>0</v>
      </c>
      <c r="Z65" s="363">
        <f t="shared" si="15"/>
        <v>0</v>
      </c>
      <c r="AA65" s="363">
        <f t="shared" si="15"/>
        <v>0</v>
      </c>
      <c r="AB65" s="363">
        <f t="shared" si="15"/>
        <v>0</v>
      </c>
      <c r="AC65" s="363">
        <f t="shared" si="15"/>
        <v>0</v>
      </c>
      <c r="AD65" s="363">
        <f t="shared" si="15"/>
        <v>0</v>
      </c>
      <c r="AE65" s="363">
        <f t="shared" si="15"/>
        <v>0</v>
      </c>
      <c r="AF65" s="363">
        <f t="shared" si="15"/>
        <v>0</v>
      </c>
      <c r="AG65" s="363">
        <f t="shared" si="15"/>
        <v>0</v>
      </c>
      <c r="AH65" s="363">
        <f t="shared" si="15"/>
        <v>0</v>
      </c>
      <c r="AI65" s="363">
        <f t="shared" si="15"/>
        <v>0</v>
      </c>
      <c r="AJ65" s="363">
        <f t="shared" si="15"/>
        <v>0</v>
      </c>
      <c r="AK65" s="363">
        <f t="shared" si="15"/>
        <v>0</v>
      </c>
      <c r="AL65" s="363">
        <f t="shared" si="15"/>
        <v>0</v>
      </c>
      <c r="AM65" s="363">
        <f t="shared" si="15"/>
        <v>0</v>
      </c>
      <c r="AN65" s="363">
        <f t="shared" si="15"/>
        <v>0</v>
      </c>
      <c r="AO65" s="363">
        <f t="shared" si="15"/>
        <v>0</v>
      </c>
      <c r="AP65" s="363">
        <f t="shared" si="15"/>
        <v>0</v>
      </c>
      <c r="AQ65" s="363">
        <f t="shared" si="15"/>
        <v>0</v>
      </c>
      <c r="AR65" s="363">
        <f t="shared" si="15"/>
        <v>0</v>
      </c>
      <c r="AS65" s="363">
        <f t="shared" si="15"/>
        <v>0</v>
      </c>
      <c r="AT65" s="363">
        <f t="shared" si="15"/>
        <v>0</v>
      </c>
      <c r="AU65" s="363">
        <f t="shared" si="15"/>
        <v>0</v>
      </c>
      <c r="AV65" s="363">
        <f t="shared" si="15"/>
        <v>0</v>
      </c>
    </row>
    <row r="66" spans="1:48" x14ac:dyDescent="0.25">
      <c r="A66" s="350" t="s">
        <v>1455</v>
      </c>
      <c r="B66" t="s">
        <v>289</v>
      </c>
      <c r="C66" t="s">
        <v>875</v>
      </c>
      <c r="D66">
        <f t="shared" si="14"/>
        <v>0</v>
      </c>
      <c r="E66">
        <f t="shared" si="14"/>
        <v>0</v>
      </c>
      <c r="F66">
        <f t="shared" si="14"/>
        <v>0</v>
      </c>
      <c r="G66">
        <f t="shared" si="14"/>
        <v>0</v>
      </c>
      <c r="H66">
        <f t="shared" si="14"/>
        <v>0</v>
      </c>
      <c r="I66">
        <f t="shared" si="14"/>
        <v>0</v>
      </c>
      <c r="J66">
        <f t="shared" si="14"/>
        <v>0</v>
      </c>
      <c r="K66">
        <f t="shared" si="14"/>
        <v>0</v>
      </c>
      <c r="L66">
        <f t="shared" si="14"/>
        <v>0</v>
      </c>
      <c r="M66">
        <f t="shared" si="14"/>
        <v>0</v>
      </c>
      <c r="N66">
        <f t="shared" si="14"/>
        <v>0</v>
      </c>
      <c r="O66" s="363">
        <f t="shared" si="2"/>
        <v>0</v>
      </c>
      <c r="P66" s="363">
        <f t="shared" si="15"/>
        <v>0</v>
      </c>
      <c r="Q66" s="363">
        <f t="shared" si="15"/>
        <v>0</v>
      </c>
      <c r="R66" s="363">
        <f t="shared" si="15"/>
        <v>0</v>
      </c>
      <c r="S66" s="363">
        <f t="shared" si="15"/>
        <v>0</v>
      </c>
      <c r="T66" s="363">
        <f t="shared" si="15"/>
        <v>0</v>
      </c>
      <c r="U66" s="363">
        <f t="shared" si="15"/>
        <v>0</v>
      </c>
      <c r="V66" s="363">
        <f t="shared" si="15"/>
        <v>0</v>
      </c>
      <c r="W66" s="363">
        <f t="shared" si="15"/>
        <v>0</v>
      </c>
      <c r="X66" s="363">
        <f t="shared" si="15"/>
        <v>0</v>
      </c>
      <c r="Y66" s="363">
        <f t="shared" si="15"/>
        <v>0</v>
      </c>
      <c r="Z66" s="363">
        <f t="shared" si="15"/>
        <v>0</v>
      </c>
      <c r="AA66" s="363">
        <f t="shared" si="15"/>
        <v>0</v>
      </c>
      <c r="AB66" s="363">
        <f t="shared" si="15"/>
        <v>0</v>
      </c>
      <c r="AC66" s="363">
        <f t="shared" si="15"/>
        <v>0</v>
      </c>
      <c r="AD66" s="363">
        <f t="shared" si="15"/>
        <v>0</v>
      </c>
      <c r="AE66" s="363">
        <f t="shared" si="15"/>
        <v>0</v>
      </c>
      <c r="AF66" s="363">
        <f t="shared" si="15"/>
        <v>0</v>
      </c>
      <c r="AG66" s="363">
        <f t="shared" si="15"/>
        <v>0</v>
      </c>
      <c r="AH66" s="363">
        <f t="shared" si="15"/>
        <v>0</v>
      </c>
      <c r="AI66" s="363">
        <f t="shared" si="15"/>
        <v>0</v>
      </c>
      <c r="AJ66" s="363">
        <f t="shared" si="15"/>
        <v>0</v>
      </c>
      <c r="AK66" s="363">
        <f t="shared" si="15"/>
        <v>0</v>
      </c>
      <c r="AL66" s="363">
        <f t="shared" si="15"/>
        <v>0</v>
      </c>
      <c r="AM66" s="363">
        <f t="shared" si="15"/>
        <v>0</v>
      </c>
      <c r="AN66" s="363">
        <f t="shared" si="15"/>
        <v>0</v>
      </c>
      <c r="AO66" s="363">
        <f t="shared" si="15"/>
        <v>0</v>
      </c>
      <c r="AP66" s="363">
        <f t="shared" si="15"/>
        <v>0</v>
      </c>
      <c r="AQ66" s="363">
        <f t="shared" si="15"/>
        <v>0</v>
      </c>
      <c r="AR66" s="363">
        <f t="shared" si="15"/>
        <v>0</v>
      </c>
      <c r="AS66" s="363">
        <f t="shared" si="15"/>
        <v>0</v>
      </c>
      <c r="AT66" s="363">
        <f t="shared" si="15"/>
        <v>0</v>
      </c>
      <c r="AU66" s="363">
        <f t="shared" si="15"/>
        <v>0</v>
      </c>
      <c r="AV66" s="363">
        <f t="shared" si="15"/>
        <v>0</v>
      </c>
    </row>
    <row r="67" spans="1:48" x14ac:dyDescent="0.25">
      <c r="A67" s="350" t="s">
        <v>1931</v>
      </c>
      <c r="B67" t="s">
        <v>229</v>
      </c>
      <c r="C67" t="s">
        <v>875</v>
      </c>
      <c r="D67">
        <f t="shared" si="14"/>
        <v>29</v>
      </c>
      <c r="E67">
        <f t="shared" si="14"/>
        <v>34</v>
      </c>
      <c r="F67">
        <f t="shared" si="14"/>
        <v>8</v>
      </c>
      <c r="G67">
        <f t="shared" si="14"/>
        <v>9</v>
      </c>
      <c r="H67">
        <f t="shared" si="14"/>
        <v>14</v>
      </c>
      <c r="I67">
        <f t="shared" si="14"/>
        <v>34</v>
      </c>
      <c r="J67">
        <f t="shared" si="14"/>
        <v>19</v>
      </c>
      <c r="K67">
        <f t="shared" si="14"/>
        <v>13</v>
      </c>
      <c r="L67">
        <f t="shared" si="14"/>
        <v>18</v>
      </c>
      <c r="M67">
        <f t="shared" si="14"/>
        <v>14</v>
      </c>
      <c r="N67">
        <f t="shared" si="14"/>
        <v>23</v>
      </c>
      <c r="O67" s="363">
        <f>IFERROR(IF($N67-$D67&gt;=0,($N67-$D67)/COUNT($E$1:$N$1)+N67,$F421*$E421^O$1),0)</f>
        <v>13.773896690484227</v>
      </c>
      <c r="P67" s="363">
        <f t="shared" ref="P67:AV75" si="16">IFERROR(IF($N67-$D67&gt;=0,($N67-$D67)/COUNT($E$1:$N$1)+O67,$F421*$E421^P$1),0)</f>
        <v>13.326406056864057</v>
      </c>
      <c r="Q67" s="363">
        <f t="shared" si="16"/>
        <v>12.893453637931978</v>
      </c>
      <c r="R67" s="363">
        <f t="shared" si="16"/>
        <v>12.474567111653874</v>
      </c>
      <c r="S67" s="363">
        <f t="shared" si="16"/>
        <v>12.069289500940574</v>
      </c>
      <c r="T67" s="363">
        <f t="shared" si="16"/>
        <v>11.677178675116506</v>
      </c>
      <c r="U67" s="363">
        <f t="shared" si="16"/>
        <v>11.297806867584814</v>
      </c>
      <c r="V67" s="363">
        <f t="shared" si="16"/>
        <v>10.930760209162688</v>
      </c>
      <c r="W67" s="363">
        <f t="shared" si="16"/>
        <v>10.575638276577877</v>
      </c>
      <c r="X67" s="363">
        <f t="shared" si="16"/>
        <v>10.232053655633752</v>
      </c>
      <c r="Y67" s="363">
        <f t="shared" si="16"/>
        <v>9.8996315185664425</v>
      </c>
      <c r="Z67" s="363">
        <f t="shared" si="16"/>
        <v>9.5780092151328819</v>
      </c>
      <c r="AA67" s="363">
        <f t="shared" si="16"/>
        <v>9.2668358769837234</v>
      </c>
      <c r="AB67" s="363">
        <f t="shared" si="16"/>
        <v>8.9657720348895378</v>
      </c>
      <c r="AC67" s="363">
        <f t="shared" si="16"/>
        <v>8.6744892484026543</v>
      </c>
      <c r="AD67" s="363">
        <f t="shared" si="16"/>
        <v>8.3926697475506717</v>
      </c>
      <c r="AE67" s="363">
        <f t="shared" si="16"/>
        <v>8.120006086170747</v>
      </c>
      <c r="AF67" s="363">
        <f t="shared" si="16"/>
        <v>7.856200806506461</v>
      </c>
      <c r="AG67" s="363">
        <f t="shared" si="16"/>
        <v>7.6009661147013743</v>
      </c>
      <c r="AH67" s="363">
        <f t="shared" si="16"/>
        <v>7.3540235668352354</v>
      </c>
      <c r="AI67" s="363">
        <f t="shared" si="16"/>
        <v>7.1151037651603595</v>
      </c>
      <c r="AJ67" s="363">
        <f t="shared" si="16"/>
        <v>6.8839460642067527</v>
      </c>
      <c r="AK67" s="363">
        <f t="shared" si="16"/>
        <v>6.6602982864354034</v>
      </c>
      <c r="AL67" s="363">
        <f t="shared" si="16"/>
        <v>6.4439164471295118</v>
      </c>
      <c r="AM67" s="363">
        <f t="shared" si="16"/>
        <v>6.234564488223536</v>
      </c>
      <c r="AN67" s="363">
        <f t="shared" si="16"/>
        <v>6.0320140207796813</v>
      </c>
      <c r="AO67" s="363">
        <f t="shared" si="16"/>
        <v>5.8360440758308965</v>
      </c>
      <c r="AP67" s="363">
        <f t="shared" si="16"/>
        <v>5.6464408633185661</v>
      </c>
      <c r="AQ67" s="363">
        <f t="shared" si="16"/>
        <v>5.462997538861889</v>
      </c>
      <c r="AR67" s="363">
        <f t="shared" si="16"/>
        <v>5.2855139781045599</v>
      </c>
      <c r="AS67" s="363">
        <f t="shared" si="16"/>
        <v>5.1137965583925116</v>
      </c>
      <c r="AT67" s="363">
        <f t="shared" si="16"/>
        <v>4.9476579475446014</v>
      </c>
      <c r="AU67" s="363">
        <f t="shared" si="16"/>
        <v>4.7869168994857629</v>
      </c>
      <c r="AV67" s="363">
        <f t="shared" si="16"/>
        <v>4.6313980565197168</v>
      </c>
    </row>
    <row r="68" spans="1:48" x14ac:dyDescent="0.25">
      <c r="A68" s="350" t="s">
        <v>1456</v>
      </c>
      <c r="B68" t="s">
        <v>289</v>
      </c>
      <c r="C68" t="s">
        <v>875</v>
      </c>
      <c r="D68">
        <f t="shared" si="14"/>
        <v>6</v>
      </c>
      <c r="E68">
        <f t="shared" si="14"/>
        <v>6</v>
      </c>
      <c r="F68">
        <f t="shared" si="14"/>
        <v>6</v>
      </c>
      <c r="G68">
        <f t="shared" si="14"/>
        <v>6</v>
      </c>
      <c r="H68">
        <f t="shared" si="14"/>
        <v>5</v>
      </c>
      <c r="I68">
        <f t="shared" si="14"/>
        <v>6</v>
      </c>
      <c r="J68">
        <f t="shared" si="14"/>
        <v>6</v>
      </c>
      <c r="K68">
        <f t="shared" si="14"/>
        <v>6</v>
      </c>
      <c r="L68">
        <f t="shared" si="14"/>
        <v>6</v>
      </c>
      <c r="M68">
        <f t="shared" si="14"/>
        <v>6</v>
      </c>
      <c r="N68">
        <f t="shared" si="14"/>
        <v>6</v>
      </c>
      <c r="O68" s="363">
        <f t="shared" ref="O68:AD130" si="17">IFERROR(IF($N68-$D68&gt;=0,($N68-$D68)/COUNT($E$1:$N$1)+N68,$F422*$E422^O$1),0)</f>
        <v>6</v>
      </c>
      <c r="P68" s="363">
        <f t="shared" si="17"/>
        <v>6</v>
      </c>
      <c r="Q68" s="363">
        <f t="shared" si="17"/>
        <v>6</v>
      </c>
      <c r="R68" s="363">
        <f t="shared" si="17"/>
        <v>6</v>
      </c>
      <c r="S68" s="363">
        <f t="shared" si="17"/>
        <v>6</v>
      </c>
      <c r="T68" s="363">
        <f t="shared" si="17"/>
        <v>6</v>
      </c>
      <c r="U68" s="363">
        <f t="shared" si="17"/>
        <v>6</v>
      </c>
      <c r="V68" s="363">
        <f t="shared" si="17"/>
        <v>6</v>
      </c>
      <c r="W68" s="363">
        <f t="shared" si="17"/>
        <v>6</v>
      </c>
      <c r="X68" s="363">
        <f t="shared" si="17"/>
        <v>6</v>
      </c>
      <c r="Y68" s="363">
        <f t="shared" si="17"/>
        <v>6</v>
      </c>
      <c r="Z68" s="363">
        <f t="shared" si="17"/>
        <v>6</v>
      </c>
      <c r="AA68" s="363">
        <f t="shared" si="17"/>
        <v>6</v>
      </c>
      <c r="AB68" s="363">
        <f t="shared" si="17"/>
        <v>6</v>
      </c>
      <c r="AC68" s="363">
        <f t="shared" si="17"/>
        <v>6</v>
      </c>
      <c r="AD68" s="363">
        <f t="shared" si="17"/>
        <v>6</v>
      </c>
      <c r="AE68" s="363">
        <f t="shared" si="16"/>
        <v>6</v>
      </c>
      <c r="AF68" s="363">
        <f t="shared" si="16"/>
        <v>6</v>
      </c>
      <c r="AG68" s="363">
        <f t="shared" si="16"/>
        <v>6</v>
      </c>
      <c r="AH68" s="363">
        <f t="shared" si="16"/>
        <v>6</v>
      </c>
      <c r="AI68" s="363">
        <f t="shared" si="16"/>
        <v>6</v>
      </c>
      <c r="AJ68" s="363">
        <f t="shared" si="16"/>
        <v>6</v>
      </c>
      <c r="AK68" s="363">
        <f t="shared" si="16"/>
        <v>6</v>
      </c>
      <c r="AL68" s="363">
        <f t="shared" si="16"/>
        <v>6</v>
      </c>
      <c r="AM68" s="363">
        <f t="shared" si="16"/>
        <v>6</v>
      </c>
      <c r="AN68" s="363">
        <f t="shared" si="16"/>
        <v>6</v>
      </c>
      <c r="AO68" s="363">
        <f t="shared" si="16"/>
        <v>6</v>
      </c>
      <c r="AP68" s="363">
        <f t="shared" si="16"/>
        <v>6</v>
      </c>
      <c r="AQ68" s="363">
        <f t="shared" si="16"/>
        <v>6</v>
      </c>
      <c r="AR68" s="363">
        <f t="shared" si="16"/>
        <v>6</v>
      </c>
      <c r="AS68" s="363">
        <f t="shared" si="16"/>
        <v>6</v>
      </c>
      <c r="AT68" s="363">
        <f t="shared" si="16"/>
        <v>6</v>
      </c>
      <c r="AU68" s="363">
        <f t="shared" si="16"/>
        <v>6</v>
      </c>
      <c r="AV68" s="363">
        <f t="shared" si="16"/>
        <v>6</v>
      </c>
    </row>
    <row r="69" spans="1:48" x14ac:dyDescent="0.25">
      <c r="A69" s="352" t="s">
        <v>1732</v>
      </c>
      <c r="B69" t="s">
        <v>295</v>
      </c>
      <c r="C69" t="s">
        <v>875</v>
      </c>
      <c r="D69">
        <f t="shared" si="14"/>
        <v>14</v>
      </c>
      <c r="E69">
        <f t="shared" si="14"/>
        <v>14</v>
      </c>
      <c r="F69">
        <f t="shared" si="14"/>
        <v>14</v>
      </c>
      <c r="G69">
        <f t="shared" si="14"/>
        <v>14</v>
      </c>
      <c r="H69">
        <f t="shared" si="14"/>
        <v>14</v>
      </c>
      <c r="I69">
        <f t="shared" si="14"/>
        <v>14</v>
      </c>
      <c r="J69">
        <f t="shared" si="14"/>
        <v>14</v>
      </c>
      <c r="K69">
        <f t="shared" si="14"/>
        <v>14</v>
      </c>
      <c r="L69">
        <f t="shared" si="14"/>
        <v>14</v>
      </c>
      <c r="M69">
        <f t="shared" si="14"/>
        <v>14</v>
      </c>
      <c r="N69">
        <f t="shared" si="14"/>
        <v>14</v>
      </c>
      <c r="O69" s="363">
        <f t="shared" si="17"/>
        <v>14</v>
      </c>
      <c r="P69" s="363">
        <f t="shared" si="16"/>
        <v>14</v>
      </c>
      <c r="Q69" s="363">
        <f t="shared" si="16"/>
        <v>14</v>
      </c>
      <c r="R69" s="363">
        <f t="shared" si="16"/>
        <v>14</v>
      </c>
      <c r="S69" s="363">
        <f t="shared" si="16"/>
        <v>14</v>
      </c>
      <c r="T69" s="363">
        <f t="shared" si="16"/>
        <v>14</v>
      </c>
      <c r="U69" s="363">
        <f t="shared" si="16"/>
        <v>14</v>
      </c>
      <c r="V69" s="363">
        <f t="shared" si="16"/>
        <v>14</v>
      </c>
      <c r="W69" s="363">
        <f t="shared" si="16"/>
        <v>14</v>
      </c>
      <c r="X69" s="363">
        <f t="shared" si="16"/>
        <v>14</v>
      </c>
      <c r="Y69" s="363">
        <f t="shared" si="16"/>
        <v>14</v>
      </c>
      <c r="Z69" s="363">
        <f t="shared" si="16"/>
        <v>14</v>
      </c>
      <c r="AA69" s="363">
        <f t="shared" si="16"/>
        <v>14</v>
      </c>
      <c r="AB69" s="363">
        <f t="shared" si="16"/>
        <v>14</v>
      </c>
      <c r="AC69" s="363">
        <f t="shared" si="16"/>
        <v>14</v>
      </c>
      <c r="AD69" s="363">
        <f t="shared" si="16"/>
        <v>14</v>
      </c>
      <c r="AE69" s="363">
        <f t="shared" si="16"/>
        <v>14</v>
      </c>
      <c r="AF69" s="363">
        <f t="shared" si="16"/>
        <v>14</v>
      </c>
      <c r="AG69" s="363">
        <f t="shared" si="16"/>
        <v>14</v>
      </c>
      <c r="AH69" s="363">
        <f t="shared" si="16"/>
        <v>14</v>
      </c>
      <c r="AI69" s="363">
        <f t="shared" si="16"/>
        <v>14</v>
      </c>
      <c r="AJ69" s="363">
        <f t="shared" si="16"/>
        <v>14</v>
      </c>
      <c r="AK69" s="363">
        <f t="shared" si="16"/>
        <v>14</v>
      </c>
      <c r="AL69" s="363">
        <f t="shared" si="16"/>
        <v>14</v>
      </c>
      <c r="AM69" s="363">
        <f t="shared" si="16"/>
        <v>14</v>
      </c>
      <c r="AN69" s="363">
        <f t="shared" si="16"/>
        <v>14</v>
      </c>
      <c r="AO69" s="363">
        <f t="shared" si="16"/>
        <v>14</v>
      </c>
      <c r="AP69" s="363">
        <f t="shared" si="16"/>
        <v>14</v>
      </c>
      <c r="AQ69" s="363">
        <f t="shared" si="16"/>
        <v>14</v>
      </c>
      <c r="AR69" s="363">
        <f t="shared" si="16"/>
        <v>14</v>
      </c>
      <c r="AS69" s="363">
        <f t="shared" si="16"/>
        <v>14</v>
      </c>
      <c r="AT69" s="363">
        <f t="shared" si="16"/>
        <v>14</v>
      </c>
      <c r="AU69" s="363">
        <f t="shared" si="16"/>
        <v>14</v>
      </c>
      <c r="AV69" s="363">
        <f t="shared" si="16"/>
        <v>14</v>
      </c>
    </row>
    <row r="70" spans="1:48" x14ac:dyDescent="0.25">
      <c r="A70" s="350" t="s">
        <v>1718</v>
      </c>
      <c r="B70" t="s">
        <v>1461</v>
      </c>
      <c r="C70" t="s">
        <v>875</v>
      </c>
      <c r="D70">
        <f t="shared" si="14"/>
        <v>0</v>
      </c>
      <c r="E70">
        <f t="shared" si="14"/>
        <v>0</v>
      </c>
      <c r="F70">
        <f t="shared" si="14"/>
        <v>0</v>
      </c>
      <c r="G70">
        <f t="shared" si="14"/>
        <v>0</v>
      </c>
      <c r="H70">
        <f t="shared" si="14"/>
        <v>0</v>
      </c>
      <c r="I70">
        <f t="shared" si="14"/>
        <v>0</v>
      </c>
      <c r="J70">
        <f t="shared" si="14"/>
        <v>0</v>
      </c>
      <c r="K70">
        <f t="shared" si="14"/>
        <v>0</v>
      </c>
      <c r="L70">
        <f t="shared" si="14"/>
        <v>0</v>
      </c>
      <c r="M70">
        <f t="shared" si="14"/>
        <v>0</v>
      </c>
      <c r="N70">
        <f t="shared" si="14"/>
        <v>0</v>
      </c>
      <c r="O70" s="363">
        <f t="shared" si="17"/>
        <v>0</v>
      </c>
      <c r="P70" s="363">
        <f t="shared" si="16"/>
        <v>0</v>
      </c>
      <c r="Q70" s="363">
        <f t="shared" si="16"/>
        <v>0</v>
      </c>
      <c r="R70" s="363">
        <f t="shared" si="16"/>
        <v>0</v>
      </c>
      <c r="S70" s="363">
        <f t="shared" si="16"/>
        <v>0</v>
      </c>
      <c r="T70" s="363">
        <f t="shared" si="16"/>
        <v>0</v>
      </c>
      <c r="U70" s="363">
        <f t="shared" si="16"/>
        <v>0</v>
      </c>
      <c r="V70" s="363">
        <f t="shared" si="16"/>
        <v>0</v>
      </c>
      <c r="W70" s="363">
        <f t="shared" si="16"/>
        <v>0</v>
      </c>
      <c r="X70" s="363">
        <f t="shared" si="16"/>
        <v>0</v>
      </c>
      <c r="Y70" s="363">
        <f t="shared" si="16"/>
        <v>0</v>
      </c>
      <c r="Z70" s="363">
        <f t="shared" si="16"/>
        <v>0</v>
      </c>
      <c r="AA70" s="363">
        <f t="shared" si="16"/>
        <v>0</v>
      </c>
      <c r="AB70" s="363">
        <f t="shared" si="16"/>
        <v>0</v>
      </c>
      <c r="AC70" s="363">
        <f t="shared" si="16"/>
        <v>0</v>
      </c>
      <c r="AD70" s="363">
        <f t="shared" si="16"/>
        <v>0</v>
      </c>
      <c r="AE70" s="363">
        <f t="shared" si="16"/>
        <v>0</v>
      </c>
      <c r="AF70" s="363">
        <f t="shared" si="16"/>
        <v>0</v>
      </c>
      <c r="AG70" s="363">
        <f t="shared" si="16"/>
        <v>0</v>
      </c>
      <c r="AH70" s="363">
        <f t="shared" si="16"/>
        <v>0</v>
      </c>
      <c r="AI70" s="363">
        <f t="shared" si="16"/>
        <v>0</v>
      </c>
      <c r="AJ70" s="363">
        <f t="shared" si="16"/>
        <v>0</v>
      </c>
      <c r="AK70" s="363">
        <f t="shared" si="16"/>
        <v>0</v>
      </c>
      <c r="AL70" s="363">
        <f t="shared" si="16"/>
        <v>0</v>
      </c>
      <c r="AM70" s="363">
        <f t="shared" si="16"/>
        <v>0</v>
      </c>
      <c r="AN70" s="363">
        <f t="shared" si="16"/>
        <v>0</v>
      </c>
      <c r="AO70" s="363">
        <f t="shared" si="16"/>
        <v>0</v>
      </c>
      <c r="AP70" s="363">
        <f t="shared" si="16"/>
        <v>0</v>
      </c>
      <c r="AQ70" s="363">
        <f t="shared" si="16"/>
        <v>0</v>
      </c>
      <c r="AR70" s="363">
        <f t="shared" si="16"/>
        <v>0</v>
      </c>
      <c r="AS70" s="363">
        <f t="shared" si="16"/>
        <v>0</v>
      </c>
      <c r="AT70" s="363">
        <f t="shared" si="16"/>
        <v>0</v>
      </c>
      <c r="AU70" s="363">
        <f t="shared" si="16"/>
        <v>0</v>
      </c>
      <c r="AV70" s="363">
        <f t="shared" si="16"/>
        <v>0</v>
      </c>
    </row>
    <row r="71" spans="1:48" x14ac:dyDescent="0.25">
      <c r="A71" s="350" t="s">
        <v>1719</v>
      </c>
      <c r="B71" t="s">
        <v>295</v>
      </c>
      <c r="C71" t="s">
        <v>875</v>
      </c>
      <c r="D71">
        <f t="shared" si="14"/>
        <v>0</v>
      </c>
      <c r="E71">
        <f t="shared" si="14"/>
        <v>0</v>
      </c>
      <c r="F71">
        <f t="shared" si="14"/>
        <v>0</v>
      </c>
      <c r="G71">
        <f t="shared" si="14"/>
        <v>0</v>
      </c>
      <c r="H71">
        <f t="shared" si="14"/>
        <v>0</v>
      </c>
      <c r="I71">
        <f t="shared" si="14"/>
        <v>0</v>
      </c>
      <c r="J71">
        <f t="shared" si="14"/>
        <v>0</v>
      </c>
      <c r="K71">
        <f t="shared" si="14"/>
        <v>0</v>
      </c>
      <c r="L71">
        <f t="shared" si="14"/>
        <v>0</v>
      </c>
      <c r="M71">
        <f t="shared" si="14"/>
        <v>0</v>
      </c>
      <c r="N71">
        <f t="shared" si="14"/>
        <v>0</v>
      </c>
      <c r="O71" s="363">
        <f t="shared" si="17"/>
        <v>0</v>
      </c>
      <c r="P71" s="363">
        <f t="shared" si="16"/>
        <v>0</v>
      </c>
      <c r="Q71" s="363">
        <f t="shared" si="16"/>
        <v>0</v>
      </c>
      <c r="R71" s="363">
        <f t="shared" si="16"/>
        <v>0</v>
      </c>
      <c r="S71" s="363">
        <f t="shared" si="16"/>
        <v>0</v>
      </c>
      <c r="T71" s="363">
        <f t="shared" si="16"/>
        <v>0</v>
      </c>
      <c r="U71" s="363">
        <f t="shared" si="16"/>
        <v>0</v>
      </c>
      <c r="V71" s="363">
        <f t="shared" si="16"/>
        <v>0</v>
      </c>
      <c r="W71" s="363">
        <f t="shared" si="16"/>
        <v>0</v>
      </c>
      <c r="X71" s="363">
        <f t="shared" si="16"/>
        <v>0</v>
      </c>
      <c r="Y71" s="363">
        <f t="shared" si="16"/>
        <v>0</v>
      </c>
      <c r="Z71" s="363">
        <f t="shared" si="16"/>
        <v>0</v>
      </c>
      <c r="AA71" s="363">
        <f t="shared" si="16"/>
        <v>0</v>
      </c>
      <c r="AB71" s="363">
        <f t="shared" si="16"/>
        <v>0</v>
      </c>
      <c r="AC71" s="363">
        <f t="shared" si="16"/>
        <v>0</v>
      </c>
      <c r="AD71" s="363">
        <f t="shared" si="16"/>
        <v>0</v>
      </c>
      <c r="AE71" s="363">
        <f t="shared" si="16"/>
        <v>0</v>
      </c>
      <c r="AF71" s="363">
        <f t="shared" si="16"/>
        <v>0</v>
      </c>
      <c r="AG71" s="363">
        <f t="shared" si="16"/>
        <v>0</v>
      </c>
      <c r="AH71" s="363">
        <f t="shared" si="16"/>
        <v>0</v>
      </c>
      <c r="AI71" s="363">
        <f t="shared" si="16"/>
        <v>0</v>
      </c>
      <c r="AJ71" s="363">
        <f t="shared" si="16"/>
        <v>0</v>
      </c>
      <c r="AK71" s="363">
        <f t="shared" si="16"/>
        <v>0</v>
      </c>
      <c r="AL71" s="363">
        <f t="shared" si="16"/>
        <v>0</v>
      </c>
      <c r="AM71" s="363">
        <f t="shared" si="16"/>
        <v>0</v>
      </c>
      <c r="AN71" s="363">
        <f t="shared" si="16"/>
        <v>0</v>
      </c>
      <c r="AO71" s="363">
        <f t="shared" si="16"/>
        <v>0</v>
      </c>
      <c r="AP71" s="363">
        <f t="shared" si="16"/>
        <v>0</v>
      </c>
      <c r="AQ71" s="363">
        <f t="shared" si="16"/>
        <v>0</v>
      </c>
      <c r="AR71" s="363">
        <f t="shared" si="16"/>
        <v>0</v>
      </c>
      <c r="AS71" s="363">
        <f t="shared" si="16"/>
        <v>0</v>
      </c>
      <c r="AT71" s="363">
        <f t="shared" si="16"/>
        <v>0</v>
      </c>
      <c r="AU71" s="363">
        <f t="shared" si="16"/>
        <v>0</v>
      </c>
      <c r="AV71" s="363">
        <f t="shared" si="16"/>
        <v>0</v>
      </c>
    </row>
    <row r="72" spans="1:48" s="103" customFormat="1" x14ac:dyDescent="0.25">
      <c r="A72" s="353" t="s">
        <v>1720</v>
      </c>
      <c r="B72" s="103" t="s">
        <v>1734</v>
      </c>
      <c r="C72" s="103" t="s">
        <v>875</v>
      </c>
      <c r="D72" s="103">
        <f t="shared" si="14"/>
        <v>1</v>
      </c>
      <c r="E72" s="103">
        <f t="shared" si="14"/>
        <v>1</v>
      </c>
      <c r="F72" s="103">
        <f t="shared" si="14"/>
        <v>1</v>
      </c>
      <c r="G72" s="103">
        <f t="shared" si="14"/>
        <v>1</v>
      </c>
      <c r="H72" s="103">
        <f t="shared" si="14"/>
        <v>1</v>
      </c>
      <c r="I72" s="103">
        <f t="shared" si="14"/>
        <v>1</v>
      </c>
      <c r="J72" s="103">
        <f t="shared" si="14"/>
        <v>1</v>
      </c>
      <c r="K72" s="103">
        <f t="shared" si="14"/>
        <v>1</v>
      </c>
      <c r="L72" s="103">
        <f t="shared" si="14"/>
        <v>1</v>
      </c>
      <c r="M72" s="103">
        <f t="shared" si="14"/>
        <v>1</v>
      </c>
      <c r="N72" s="103">
        <f t="shared" si="14"/>
        <v>1</v>
      </c>
      <c r="O72" s="363">
        <f t="shared" si="17"/>
        <v>1</v>
      </c>
      <c r="P72" s="363">
        <f t="shared" si="16"/>
        <v>1</v>
      </c>
      <c r="Q72" s="363">
        <f t="shared" si="16"/>
        <v>1</v>
      </c>
      <c r="R72" s="363">
        <f t="shared" si="16"/>
        <v>1</v>
      </c>
      <c r="S72" s="363">
        <f t="shared" si="16"/>
        <v>1</v>
      </c>
      <c r="T72" s="363">
        <f t="shared" si="16"/>
        <v>1</v>
      </c>
      <c r="U72" s="363">
        <f t="shared" si="16"/>
        <v>1</v>
      </c>
      <c r="V72" s="363">
        <f t="shared" si="16"/>
        <v>1</v>
      </c>
      <c r="W72" s="363">
        <f t="shared" si="16"/>
        <v>1</v>
      </c>
      <c r="X72" s="363">
        <f t="shared" si="16"/>
        <v>1</v>
      </c>
      <c r="Y72" s="363">
        <f t="shared" si="16"/>
        <v>1</v>
      </c>
      <c r="Z72" s="363">
        <f t="shared" si="16"/>
        <v>1</v>
      </c>
      <c r="AA72" s="363">
        <f t="shared" si="16"/>
        <v>1</v>
      </c>
      <c r="AB72" s="363">
        <f t="shared" si="16"/>
        <v>1</v>
      </c>
      <c r="AC72" s="363">
        <f t="shared" si="16"/>
        <v>1</v>
      </c>
      <c r="AD72" s="363">
        <f t="shared" si="16"/>
        <v>1</v>
      </c>
      <c r="AE72" s="363">
        <f t="shared" si="16"/>
        <v>1</v>
      </c>
      <c r="AF72" s="363">
        <f t="shared" si="16"/>
        <v>1</v>
      </c>
      <c r="AG72" s="363">
        <f t="shared" si="16"/>
        <v>1</v>
      </c>
      <c r="AH72" s="363">
        <f t="shared" si="16"/>
        <v>1</v>
      </c>
      <c r="AI72" s="363">
        <f t="shared" si="16"/>
        <v>1</v>
      </c>
      <c r="AJ72" s="363">
        <f t="shared" si="16"/>
        <v>1</v>
      </c>
      <c r="AK72" s="363">
        <f t="shared" si="16"/>
        <v>1</v>
      </c>
      <c r="AL72" s="363">
        <f t="shared" si="16"/>
        <v>1</v>
      </c>
      <c r="AM72" s="363">
        <f t="shared" si="16"/>
        <v>1</v>
      </c>
      <c r="AN72" s="363">
        <f t="shared" si="16"/>
        <v>1</v>
      </c>
      <c r="AO72" s="363">
        <f t="shared" si="16"/>
        <v>1</v>
      </c>
      <c r="AP72" s="363">
        <f t="shared" si="16"/>
        <v>1</v>
      </c>
      <c r="AQ72" s="363">
        <f t="shared" si="16"/>
        <v>1</v>
      </c>
      <c r="AR72" s="363">
        <f t="shared" si="16"/>
        <v>1</v>
      </c>
      <c r="AS72" s="363">
        <f t="shared" si="16"/>
        <v>1</v>
      </c>
      <c r="AT72" s="363">
        <f t="shared" si="16"/>
        <v>1</v>
      </c>
      <c r="AU72" s="363">
        <f t="shared" si="16"/>
        <v>1</v>
      </c>
      <c r="AV72" s="363">
        <f t="shared" si="16"/>
        <v>1</v>
      </c>
    </row>
    <row r="73" spans="1:48" x14ac:dyDescent="0.25">
      <c r="A73" s="350" t="s">
        <v>1721</v>
      </c>
      <c r="B73" t="s">
        <v>295</v>
      </c>
      <c r="C73" t="s">
        <v>875</v>
      </c>
      <c r="D73">
        <f t="shared" si="14"/>
        <v>0</v>
      </c>
      <c r="E73">
        <f t="shared" si="14"/>
        <v>0</v>
      </c>
      <c r="F73">
        <f t="shared" si="14"/>
        <v>0</v>
      </c>
      <c r="G73">
        <f t="shared" si="14"/>
        <v>0</v>
      </c>
      <c r="H73">
        <f t="shared" si="14"/>
        <v>0</v>
      </c>
      <c r="I73">
        <f t="shared" si="14"/>
        <v>0</v>
      </c>
      <c r="J73">
        <f t="shared" si="14"/>
        <v>0</v>
      </c>
      <c r="K73">
        <f t="shared" si="14"/>
        <v>0</v>
      </c>
      <c r="L73">
        <f t="shared" si="14"/>
        <v>0</v>
      </c>
      <c r="M73">
        <f t="shared" si="14"/>
        <v>0</v>
      </c>
      <c r="N73">
        <f t="shared" si="14"/>
        <v>0</v>
      </c>
      <c r="O73" s="363">
        <f t="shared" si="17"/>
        <v>0</v>
      </c>
      <c r="P73" s="363">
        <f t="shared" si="16"/>
        <v>0</v>
      </c>
      <c r="Q73" s="363">
        <f t="shared" si="16"/>
        <v>0</v>
      </c>
      <c r="R73" s="363">
        <f t="shared" si="16"/>
        <v>0</v>
      </c>
      <c r="S73" s="363">
        <f t="shared" si="16"/>
        <v>0</v>
      </c>
      <c r="T73" s="363">
        <f t="shared" si="16"/>
        <v>0</v>
      </c>
      <c r="U73" s="363">
        <f t="shared" si="16"/>
        <v>0</v>
      </c>
      <c r="V73" s="363">
        <f t="shared" si="16"/>
        <v>0</v>
      </c>
      <c r="W73" s="363">
        <f t="shared" si="16"/>
        <v>0</v>
      </c>
      <c r="X73" s="363">
        <f t="shared" si="16"/>
        <v>0</v>
      </c>
      <c r="Y73" s="363">
        <f t="shared" si="16"/>
        <v>0</v>
      </c>
      <c r="Z73" s="363">
        <f t="shared" si="16"/>
        <v>0</v>
      </c>
      <c r="AA73" s="363">
        <f t="shared" si="16"/>
        <v>0</v>
      </c>
      <c r="AB73" s="363">
        <f t="shared" si="16"/>
        <v>0</v>
      </c>
      <c r="AC73" s="363">
        <f t="shared" si="16"/>
        <v>0</v>
      </c>
      <c r="AD73" s="363">
        <f t="shared" si="16"/>
        <v>0</v>
      </c>
      <c r="AE73" s="363">
        <f t="shared" si="16"/>
        <v>0</v>
      </c>
      <c r="AF73" s="363">
        <f t="shared" si="16"/>
        <v>0</v>
      </c>
      <c r="AG73" s="363">
        <f t="shared" si="16"/>
        <v>0</v>
      </c>
      <c r="AH73" s="363">
        <f t="shared" si="16"/>
        <v>0</v>
      </c>
      <c r="AI73" s="363">
        <f t="shared" si="16"/>
        <v>0</v>
      </c>
      <c r="AJ73" s="363">
        <f t="shared" si="16"/>
        <v>0</v>
      </c>
      <c r="AK73" s="363">
        <f t="shared" si="16"/>
        <v>0</v>
      </c>
      <c r="AL73" s="363">
        <f t="shared" si="16"/>
        <v>0</v>
      </c>
      <c r="AM73" s="363">
        <f t="shared" si="16"/>
        <v>0</v>
      </c>
      <c r="AN73" s="363">
        <f t="shared" si="16"/>
        <v>0</v>
      </c>
      <c r="AO73" s="363">
        <f t="shared" si="16"/>
        <v>0</v>
      </c>
      <c r="AP73" s="363">
        <f t="shared" si="16"/>
        <v>0</v>
      </c>
      <c r="AQ73" s="363">
        <f t="shared" si="16"/>
        <v>0</v>
      </c>
      <c r="AR73" s="363">
        <f t="shared" si="16"/>
        <v>0</v>
      </c>
      <c r="AS73" s="363">
        <f t="shared" si="16"/>
        <v>0</v>
      </c>
      <c r="AT73" s="363">
        <f t="shared" si="16"/>
        <v>0</v>
      </c>
      <c r="AU73" s="363">
        <f t="shared" si="16"/>
        <v>0</v>
      </c>
      <c r="AV73" s="363">
        <f t="shared" si="16"/>
        <v>0</v>
      </c>
    </row>
    <row r="74" spans="1:48" x14ac:dyDescent="0.25">
      <c r="A74" s="350" t="s">
        <v>1723</v>
      </c>
      <c r="B74" t="s">
        <v>295</v>
      </c>
      <c r="C74" t="s">
        <v>875</v>
      </c>
      <c r="D74">
        <f t="shared" si="14"/>
        <v>0</v>
      </c>
      <c r="E74">
        <f t="shared" si="14"/>
        <v>0</v>
      </c>
      <c r="F74">
        <f t="shared" si="14"/>
        <v>0</v>
      </c>
      <c r="G74">
        <f t="shared" si="14"/>
        <v>0</v>
      </c>
      <c r="H74">
        <f t="shared" si="14"/>
        <v>0</v>
      </c>
      <c r="I74">
        <f t="shared" si="14"/>
        <v>0</v>
      </c>
      <c r="J74">
        <f t="shared" si="14"/>
        <v>0</v>
      </c>
      <c r="K74">
        <f t="shared" si="14"/>
        <v>0</v>
      </c>
      <c r="L74">
        <f t="shared" si="14"/>
        <v>0</v>
      </c>
      <c r="M74">
        <f t="shared" si="14"/>
        <v>0</v>
      </c>
      <c r="N74">
        <f t="shared" si="14"/>
        <v>0</v>
      </c>
      <c r="O74" s="363">
        <f t="shared" si="17"/>
        <v>0</v>
      </c>
      <c r="P74" s="363">
        <f t="shared" si="16"/>
        <v>0</v>
      </c>
      <c r="Q74" s="363">
        <f t="shared" si="16"/>
        <v>0</v>
      </c>
      <c r="R74" s="363">
        <f t="shared" si="16"/>
        <v>0</v>
      </c>
      <c r="S74" s="363">
        <f t="shared" si="16"/>
        <v>0</v>
      </c>
      <c r="T74" s="363">
        <f t="shared" si="16"/>
        <v>0</v>
      </c>
      <c r="U74" s="363">
        <f t="shared" si="16"/>
        <v>0</v>
      </c>
      <c r="V74" s="363">
        <f t="shared" si="16"/>
        <v>0</v>
      </c>
      <c r="W74" s="363">
        <f t="shared" si="16"/>
        <v>0</v>
      </c>
      <c r="X74" s="363">
        <f t="shared" si="16"/>
        <v>0</v>
      </c>
      <c r="Y74" s="363">
        <f t="shared" si="16"/>
        <v>0</v>
      </c>
      <c r="Z74" s="363">
        <f t="shared" si="16"/>
        <v>0</v>
      </c>
      <c r="AA74" s="363">
        <f t="shared" si="16"/>
        <v>0</v>
      </c>
      <c r="AB74" s="363">
        <f t="shared" si="16"/>
        <v>0</v>
      </c>
      <c r="AC74" s="363">
        <f t="shared" si="16"/>
        <v>0</v>
      </c>
      <c r="AD74" s="363">
        <f t="shared" si="16"/>
        <v>0</v>
      </c>
      <c r="AE74" s="363">
        <f t="shared" si="16"/>
        <v>0</v>
      </c>
      <c r="AF74" s="363">
        <f t="shared" si="16"/>
        <v>0</v>
      </c>
      <c r="AG74" s="363">
        <f t="shared" si="16"/>
        <v>0</v>
      </c>
      <c r="AH74" s="363">
        <f t="shared" si="16"/>
        <v>0</v>
      </c>
      <c r="AI74" s="363">
        <f t="shared" si="16"/>
        <v>0</v>
      </c>
      <c r="AJ74" s="363">
        <f t="shared" si="16"/>
        <v>0</v>
      </c>
      <c r="AK74" s="363">
        <f t="shared" si="16"/>
        <v>0</v>
      </c>
      <c r="AL74" s="363">
        <f t="shared" si="16"/>
        <v>0</v>
      </c>
      <c r="AM74" s="363">
        <f t="shared" si="16"/>
        <v>0</v>
      </c>
      <c r="AN74" s="363">
        <f t="shared" si="16"/>
        <v>0</v>
      </c>
      <c r="AO74" s="363">
        <f t="shared" si="16"/>
        <v>0</v>
      </c>
      <c r="AP74" s="363">
        <f t="shared" si="16"/>
        <v>0</v>
      </c>
      <c r="AQ74" s="363">
        <f t="shared" si="16"/>
        <v>0</v>
      </c>
      <c r="AR74" s="363">
        <f t="shared" si="16"/>
        <v>0</v>
      </c>
      <c r="AS74" s="363">
        <f t="shared" si="16"/>
        <v>0</v>
      </c>
      <c r="AT74" s="363">
        <f t="shared" si="16"/>
        <v>0</v>
      </c>
      <c r="AU74" s="363">
        <f t="shared" si="16"/>
        <v>0</v>
      </c>
      <c r="AV74" s="363">
        <f t="shared" si="16"/>
        <v>0</v>
      </c>
    </row>
    <row r="75" spans="1:48" x14ac:dyDescent="0.25">
      <c r="A75" s="350" t="s">
        <v>1439</v>
      </c>
      <c r="B75" t="s">
        <v>1460</v>
      </c>
      <c r="C75" t="s">
        <v>1530</v>
      </c>
      <c r="D75">
        <f t="shared" ref="D75:N84" si="18">IFERROR(INDEX($B$246:$AB$249,MATCH($A75,$A$246:$A$249,0),MATCH(D$1,$B$176:$AB$176,0)),0)</f>
        <v>0</v>
      </c>
      <c r="E75">
        <f t="shared" si="18"/>
        <v>0</v>
      </c>
      <c r="F75">
        <f t="shared" si="18"/>
        <v>0</v>
      </c>
      <c r="G75">
        <f t="shared" si="18"/>
        <v>0</v>
      </c>
      <c r="H75">
        <f t="shared" si="18"/>
        <v>0</v>
      </c>
      <c r="I75">
        <f t="shared" si="18"/>
        <v>0</v>
      </c>
      <c r="J75">
        <f t="shared" si="18"/>
        <v>0</v>
      </c>
      <c r="K75">
        <f t="shared" si="18"/>
        <v>0</v>
      </c>
      <c r="L75">
        <f t="shared" si="18"/>
        <v>0</v>
      </c>
      <c r="M75">
        <f t="shared" si="18"/>
        <v>0</v>
      </c>
      <c r="N75">
        <f t="shared" si="18"/>
        <v>0</v>
      </c>
      <c r="O75" s="363">
        <f t="shared" si="17"/>
        <v>0</v>
      </c>
      <c r="P75" s="363">
        <f t="shared" si="16"/>
        <v>0</v>
      </c>
      <c r="Q75" s="363">
        <f t="shared" si="16"/>
        <v>0</v>
      </c>
      <c r="R75" s="363">
        <f t="shared" si="16"/>
        <v>0</v>
      </c>
      <c r="S75" s="363">
        <f t="shared" si="16"/>
        <v>0</v>
      </c>
      <c r="T75" s="363">
        <f t="shared" si="16"/>
        <v>0</v>
      </c>
      <c r="U75" s="363">
        <f t="shared" si="16"/>
        <v>0</v>
      </c>
      <c r="V75" s="363">
        <f t="shared" ref="P75:AV82" si="19">IFERROR(IF($N75-$D75&gt;=0,($N75-$D75)/COUNT($E$1:$N$1)+U75,$F429*$E429^V$1),0)</f>
        <v>0</v>
      </c>
      <c r="W75" s="363">
        <f t="shared" si="19"/>
        <v>0</v>
      </c>
      <c r="X75" s="363">
        <f t="shared" si="19"/>
        <v>0</v>
      </c>
      <c r="Y75" s="363">
        <f t="shared" si="19"/>
        <v>0</v>
      </c>
      <c r="Z75" s="363">
        <f t="shared" si="19"/>
        <v>0</v>
      </c>
      <c r="AA75" s="363">
        <f t="shared" si="19"/>
        <v>0</v>
      </c>
      <c r="AB75" s="363">
        <f t="shared" si="19"/>
        <v>0</v>
      </c>
      <c r="AC75" s="363">
        <f t="shared" si="19"/>
        <v>0</v>
      </c>
      <c r="AD75" s="363">
        <f t="shared" si="19"/>
        <v>0</v>
      </c>
      <c r="AE75" s="363">
        <f t="shared" si="19"/>
        <v>0</v>
      </c>
      <c r="AF75" s="363">
        <f t="shared" si="19"/>
        <v>0</v>
      </c>
      <c r="AG75" s="363">
        <f t="shared" si="19"/>
        <v>0</v>
      </c>
      <c r="AH75" s="363">
        <f t="shared" si="19"/>
        <v>0</v>
      </c>
      <c r="AI75" s="363">
        <f t="shared" si="19"/>
        <v>0</v>
      </c>
      <c r="AJ75" s="363">
        <f t="shared" si="19"/>
        <v>0</v>
      </c>
      <c r="AK75" s="363">
        <f t="shared" si="19"/>
        <v>0</v>
      </c>
      <c r="AL75" s="363">
        <f t="shared" si="19"/>
        <v>0</v>
      </c>
      <c r="AM75" s="363">
        <f t="shared" si="19"/>
        <v>0</v>
      </c>
      <c r="AN75" s="363">
        <f t="shared" si="19"/>
        <v>0</v>
      </c>
      <c r="AO75" s="363">
        <f t="shared" si="19"/>
        <v>0</v>
      </c>
      <c r="AP75" s="363">
        <f t="shared" si="19"/>
        <v>0</v>
      </c>
      <c r="AQ75" s="363">
        <f t="shared" si="19"/>
        <v>0</v>
      </c>
      <c r="AR75" s="363">
        <f t="shared" si="19"/>
        <v>0</v>
      </c>
      <c r="AS75" s="363">
        <f t="shared" si="19"/>
        <v>0</v>
      </c>
      <c r="AT75" s="363">
        <f t="shared" si="19"/>
        <v>0</v>
      </c>
      <c r="AU75" s="363">
        <f t="shared" si="19"/>
        <v>0</v>
      </c>
      <c r="AV75" s="363">
        <f t="shared" si="19"/>
        <v>0</v>
      </c>
    </row>
    <row r="76" spans="1:48" x14ac:dyDescent="0.25">
      <c r="A76" s="350" t="s">
        <v>1440</v>
      </c>
      <c r="B76" t="s">
        <v>229</v>
      </c>
      <c r="C76" t="s">
        <v>1530</v>
      </c>
      <c r="D76">
        <f t="shared" si="18"/>
        <v>0</v>
      </c>
      <c r="E76">
        <f t="shared" si="18"/>
        <v>0</v>
      </c>
      <c r="F76">
        <f t="shared" si="18"/>
        <v>0</v>
      </c>
      <c r="G76">
        <f t="shared" si="18"/>
        <v>0</v>
      </c>
      <c r="H76">
        <f t="shared" si="18"/>
        <v>0</v>
      </c>
      <c r="I76">
        <f t="shared" si="18"/>
        <v>0</v>
      </c>
      <c r="J76">
        <f t="shared" si="18"/>
        <v>0</v>
      </c>
      <c r="K76">
        <f t="shared" si="18"/>
        <v>0</v>
      </c>
      <c r="L76">
        <f t="shared" si="18"/>
        <v>0</v>
      </c>
      <c r="M76">
        <f t="shared" si="18"/>
        <v>0</v>
      </c>
      <c r="N76">
        <f t="shared" si="18"/>
        <v>0</v>
      </c>
      <c r="O76" s="363">
        <f t="shared" si="17"/>
        <v>0</v>
      </c>
      <c r="P76" s="363">
        <f t="shared" si="19"/>
        <v>0</v>
      </c>
      <c r="Q76" s="363">
        <f t="shared" si="19"/>
        <v>0</v>
      </c>
      <c r="R76" s="363">
        <f t="shared" si="19"/>
        <v>0</v>
      </c>
      <c r="S76" s="363">
        <f t="shared" si="19"/>
        <v>0</v>
      </c>
      <c r="T76" s="363">
        <f t="shared" si="19"/>
        <v>0</v>
      </c>
      <c r="U76" s="363">
        <f t="shared" si="19"/>
        <v>0</v>
      </c>
      <c r="V76" s="363">
        <f t="shared" si="19"/>
        <v>0</v>
      </c>
      <c r="W76" s="363">
        <f t="shared" si="19"/>
        <v>0</v>
      </c>
      <c r="X76" s="363">
        <f t="shared" si="19"/>
        <v>0</v>
      </c>
      <c r="Y76" s="363">
        <f t="shared" si="19"/>
        <v>0</v>
      </c>
      <c r="Z76" s="363">
        <f t="shared" si="19"/>
        <v>0</v>
      </c>
      <c r="AA76" s="363">
        <f t="shared" si="19"/>
        <v>0</v>
      </c>
      <c r="AB76" s="363">
        <f t="shared" si="19"/>
        <v>0</v>
      </c>
      <c r="AC76" s="363">
        <f t="shared" si="19"/>
        <v>0</v>
      </c>
      <c r="AD76" s="363">
        <f t="shared" si="19"/>
        <v>0</v>
      </c>
      <c r="AE76" s="363">
        <f t="shared" si="19"/>
        <v>0</v>
      </c>
      <c r="AF76" s="363">
        <f t="shared" si="19"/>
        <v>0</v>
      </c>
      <c r="AG76" s="363">
        <f t="shared" si="19"/>
        <v>0</v>
      </c>
      <c r="AH76" s="363">
        <f t="shared" si="19"/>
        <v>0</v>
      </c>
      <c r="AI76" s="363">
        <f t="shared" si="19"/>
        <v>0</v>
      </c>
      <c r="AJ76" s="363">
        <f t="shared" si="19"/>
        <v>0</v>
      </c>
      <c r="AK76" s="363">
        <f t="shared" si="19"/>
        <v>0</v>
      </c>
      <c r="AL76" s="363">
        <f t="shared" si="19"/>
        <v>0</v>
      </c>
      <c r="AM76" s="363">
        <f t="shared" si="19"/>
        <v>0</v>
      </c>
      <c r="AN76" s="363">
        <f t="shared" si="19"/>
        <v>0</v>
      </c>
      <c r="AO76" s="363">
        <f t="shared" si="19"/>
        <v>0</v>
      </c>
      <c r="AP76" s="363">
        <f t="shared" si="19"/>
        <v>0</v>
      </c>
      <c r="AQ76" s="363">
        <f t="shared" si="19"/>
        <v>0</v>
      </c>
      <c r="AR76" s="363">
        <f t="shared" si="19"/>
        <v>0</v>
      </c>
      <c r="AS76" s="363">
        <f t="shared" si="19"/>
        <v>0</v>
      </c>
      <c r="AT76" s="363">
        <f t="shared" si="19"/>
        <v>0</v>
      </c>
      <c r="AU76" s="363">
        <f t="shared" si="19"/>
        <v>0</v>
      </c>
      <c r="AV76" s="363">
        <f t="shared" si="19"/>
        <v>0</v>
      </c>
    </row>
    <row r="77" spans="1:48" x14ac:dyDescent="0.25">
      <c r="A77" s="351" t="s">
        <v>1725</v>
      </c>
      <c r="B77" t="s">
        <v>295</v>
      </c>
      <c r="C77" t="s">
        <v>1530</v>
      </c>
      <c r="D77">
        <f t="shared" si="18"/>
        <v>0</v>
      </c>
      <c r="E77">
        <f t="shared" si="18"/>
        <v>0</v>
      </c>
      <c r="F77">
        <f t="shared" si="18"/>
        <v>0</v>
      </c>
      <c r="G77">
        <f t="shared" si="18"/>
        <v>0</v>
      </c>
      <c r="H77">
        <f t="shared" si="18"/>
        <v>0</v>
      </c>
      <c r="I77">
        <f t="shared" si="18"/>
        <v>0</v>
      </c>
      <c r="J77">
        <f t="shared" si="18"/>
        <v>0</v>
      </c>
      <c r="K77">
        <f t="shared" si="18"/>
        <v>0</v>
      </c>
      <c r="L77">
        <f t="shared" si="18"/>
        <v>0</v>
      </c>
      <c r="M77">
        <f t="shared" si="18"/>
        <v>0</v>
      </c>
      <c r="N77">
        <f t="shared" si="18"/>
        <v>0</v>
      </c>
      <c r="O77" s="363">
        <f t="shared" si="17"/>
        <v>0</v>
      </c>
      <c r="P77" s="363">
        <f t="shared" si="19"/>
        <v>0</v>
      </c>
      <c r="Q77" s="363">
        <f t="shared" si="19"/>
        <v>0</v>
      </c>
      <c r="R77" s="363">
        <f t="shared" si="19"/>
        <v>0</v>
      </c>
      <c r="S77" s="363">
        <f t="shared" si="19"/>
        <v>0</v>
      </c>
      <c r="T77" s="363">
        <f t="shared" si="19"/>
        <v>0</v>
      </c>
      <c r="U77" s="363">
        <f t="shared" si="19"/>
        <v>0</v>
      </c>
      <c r="V77" s="363">
        <f t="shared" si="19"/>
        <v>0</v>
      </c>
      <c r="W77" s="363">
        <f t="shared" si="19"/>
        <v>0</v>
      </c>
      <c r="X77" s="363">
        <f t="shared" si="19"/>
        <v>0</v>
      </c>
      <c r="Y77" s="363">
        <f t="shared" si="19"/>
        <v>0</v>
      </c>
      <c r="Z77" s="363">
        <f t="shared" si="19"/>
        <v>0</v>
      </c>
      <c r="AA77" s="363">
        <f t="shared" si="19"/>
        <v>0</v>
      </c>
      <c r="AB77" s="363">
        <f t="shared" si="19"/>
        <v>0</v>
      </c>
      <c r="AC77" s="363">
        <f t="shared" si="19"/>
        <v>0</v>
      </c>
      <c r="AD77" s="363">
        <f t="shared" si="19"/>
        <v>0</v>
      </c>
      <c r="AE77" s="363">
        <f t="shared" si="19"/>
        <v>0</v>
      </c>
      <c r="AF77" s="363">
        <f t="shared" si="19"/>
        <v>0</v>
      </c>
      <c r="AG77" s="363">
        <f t="shared" si="19"/>
        <v>0</v>
      </c>
      <c r="AH77" s="363">
        <f t="shared" si="19"/>
        <v>0</v>
      </c>
      <c r="AI77" s="363">
        <f t="shared" si="19"/>
        <v>0</v>
      </c>
      <c r="AJ77" s="363">
        <f t="shared" si="19"/>
        <v>0</v>
      </c>
      <c r="AK77" s="363">
        <f t="shared" si="19"/>
        <v>0</v>
      </c>
      <c r="AL77" s="363">
        <f t="shared" si="19"/>
        <v>0</v>
      </c>
      <c r="AM77" s="363">
        <f t="shared" si="19"/>
        <v>0</v>
      </c>
      <c r="AN77" s="363">
        <f t="shared" si="19"/>
        <v>0</v>
      </c>
      <c r="AO77" s="363">
        <f t="shared" si="19"/>
        <v>0</v>
      </c>
      <c r="AP77" s="363">
        <f t="shared" si="19"/>
        <v>0</v>
      </c>
      <c r="AQ77" s="363">
        <f t="shared" si="19"/>
        <v>0</v>
      </c>
      <c r="AR77" s="363">
        <f t="shared" si="19"/>
        <v>0</v>
      </c>
      <c r="AS77" s="363">
        <f t="shared" si="19"/>
        <v>0</v>
      </c>
      <c r="AT77" s="363">
        <f t="shared" si="19"/>
        <v>0</v>
      </c>
      <c r="AU77" s="363">
        <f t="shared" si="19"/>
        <v>0</v>
      </c>
      <c r="AV77" s="363">
        <f t="shared" si="19"/>
        <v>0</v>
      </c>
    </row>
    <row r="78" spans="1:48" x14ac:dyDescent="0.25">
      <c r="A78" s="350" t="s">
        <v>1722</v>
      </c>
      <c r="B78" t="s">
        <v>295</v>
      </c>
      <c r="C78" t="s">
        <v>1530</v>
      </c>
      <c r="D78">
        <f t="shared" si="18"/>
        <v>0</v>
      </c>
      <c r="E78">
        <f t="shared" si="18"/>
        <v>0</v>
      </c>
      <c r="F78">
        <f t="shared" si="18"/>
        <v>0</v>
      </c>
      <c r="G78">
        <f t="shared" si="18"/>
        <v>0</v>
      </c>
      <c r="H78">
        <f t="shared" si="18"/>
        <v>0</v>
      </c>
      <c r="I78">
        <f t="shared" si="18"/>
        <v>0</v>
      </c>
      <c r="J78">
        <f t="shared" si="18"/>
        <v>0</v>
      </c>
      <c r="K78">
        <f t="shared" si="18"/>
        <v>0</v>
      </c>
      <c r="L78">
        <f t="shared" si="18"/>
        <v>0</v>
      </c>
      <c r="M78">
        <f t="shared" si="18"/>
        <v>0</v>
      </c>
      <c r="N78">
        <f t="shared" si="18"/>
        <v>0</v>
      </c>
      <c r="O78" s="363">
        <f t="shared" si="17"/>
        <v>0</v>
      </c>
      <c r="P78" s="363">
        <f t="shared" si="19"/>
        <v>0</v>
      </c>
      <c r="Q78" s="363">
        <f t="shared" si="19"/>
        <v>0</v>
      </c>
      <c r="R78" s="363">
        <f t="shared" si="19"/>
        <v>0</v>
      </c>
      <c r="S78" s="363">
        <f t="shared" si="19"/>
        <v>0</v>
      </c>
      <c r="T78" s="363">
        <f t="shared" si="19"/>
        <v>0</v>
      </c>
      <c r="U78" s="363">
        <f t="shared" si="19"/>
        <v>0</v>
      </c>
      <c r="V78" s="363">
        <f t="shared" si="19"/>
        <v>0</v>
      </c>
      <c r="W78" s="363">
        <f t="shared" si="19"/>
        <v>0</v>
      </c>
      <c r="X78" s="363">
        <f t="shared" si="19"/>
        <v>0</v>
      </c>
      <c r="Y78" s="363">
        <f t="shared" si="19"/>
        <v>0</v>
      </c>
      <c r="Z78" s="363">
        <f t="shared" si="19"/>
        <v>0</v>
      </c>
      <c r="AA78" s="363">
        <f t="shared" si="19"/>
        <v>0</v>
      </c>
      <c r="AB78" s="363">
        <f t="shared" si="19"/>
        <v>0</v>
      </c>
      <c r="AC78" s="363">
        <f t="shared" si="19"/>
        <v>0</v>
      </c>
      <c r="AD78" s="363">
        <f t="shared" si="19"/>
        <v>0</v>
      </c>
      <c r="AE78" s="363">
        <f t="shared" si="19"/>
        <v>0</v>
      </c>
      <c r="AF78" s="363">
        <f t="shared" si="19"/>
        <v>0</v>
      </c>
      <c r="AG78" s="363">
        <f t="shared" si="19"/>
        <v>0</v>
      </c>
      <c r="AH78" s="363">
        <f t="shared" si="19"/>
        <v>0</v>
      </c>
      <c r="AI78" s="363">
        <f t="shared" si="19"/>
        <v>0</v>
      </c>
      <c r="AJ78" s="363">
        <f t="shared" si="19"/>
        <v>0</v>
      </c>
      <c r="AK78" s="363">
        <f t="shared" si="19"/>
        <v>0</v>
      </c>
      <c r="AL78" s="363">
        <f t="shared" si="19"/>
        <v>0</v>
      </c>
      <c r="AM78" s="363">
        <f t="shared" si="19"/>
        <v>0</v>
      </c>
      <c r="AN78" s="363">
        <f t="shared" si="19"/>
        <v>0</v>
      </c>
      <c r="AO78" s="363">
        <f t="shared" si="19"/>
        <v>0</v>
      </c>
      <c r="AP78" s="363">
        <f t="shared" si="19"/>
        <v>0</v>
      </c>
      <c r="AQ78" s="363">
        <f t="shared" si="19"/>
        <v>0</v>
      </c>
      <c r="AR78" s="363">
        <f t="shared" si="19"/>
        <v>0</v>
      </c>
      <c r="AS78" s="363">
        <f t="shared" si="19"/>
        <v>0</v>
      </c>
      <c r="AT78" s="363">
        <f t="shared" si="19"/>
        <v>0</v>
      </c>
      <c r="AU78" s="363">
        <f t="shared" si="19"/>
        <v>0</v>
      </c>
      <c r="AV78" s="363">
        <f t="shared" si="19"/>
        <v>0</v>
      </c>
    </row>
    <row r="79" spans="1:48" x14ac:dyDescent="0.25">
      <c r="A79" s="350" t="s">
        <v>1443</v>
      </c>
      <c r="B79" t="s">
        <v>1461</v>
      </c>
      <c r="C79" t="s">
        <v>1530</v>
      </c>
      <c r="D79">
        <f t="shared" si="18"/>
        <v>0</v>
      </c>
      <c r="E79">
        <f t="shared" si="18"/>
        <v>0</v>
      </c>
      <c r="F79">
        <f t="shared" si="18"/>
        <v>0</v>
      </c>
      <c r="G79">
        <f t="shared" si="18"/>
        <v>0</v>
      </c>
      <c r="H79">
        <f t="shared" si="18"/>
        <v>0</v>
      </c>
      <c r="I79">
        <f t="shared" si="18"/>
        <v>0</v>
      </c>
      <c r="J79">
        <f t="shared" si="18"/>
        <v>0</v>
      </c>
      <c r="K79">
        <f t="shared" si="18"/>
        <v>0</v>
      </c>
      <c r="L79">
        <f t="shared" si="18"/>
        <v>0</v>
      </c>
      <c r="M79">
        <f t="shared" si="18"/>
        <v>0</v>
      </c>
      <c r="N79">
        <f t="shared" si="18"/>
        <v>0</v>
      </c>
      <c r="O79" s="363">
        <f t="shared" si="17"/>
        <v>0</v>
      </c>
      <c r="P79" s="363">
        <f t="shared" si="19"/>
        <v>0</v>
      </c>
      <c r="Q79" s="363">
        <f t="shared" si="19"/>
        <v>0</v>
      </c>
      <c r="R79" s="363">
        <f t="shared" si="19"/>
        <v>0</v>
      </c>
      <c r="S79" s="363">
        <f t="shared" si="19"/>
        <v>0</v>
      </c>
      <c r="T79" s="363">
        <f t="shared" si="19"/>
        <v>0</v>
      </c>
      <c r="U79" s="363">
        <f t="shared" si="19"/>
        <v>0</v>
      </c>
      <c r="V79" s="363">
        <f t="shared" si="19"/>
        <v>0</v>
      </c>
      <c r="W79" s="363">
        <f t="shared" si="19"/>
        <v>0</v>
      </c>
      <c r="X79" s="363">
        <f t="shared" si="19"/>
        <v>0</v>
      </c>
      <c r="Y79" s="363">
        <f t="shared" si="19"/>
        <v>0</v>
      </c>
      <c r="Z79" s="363">
        <f t="shared" si="19"/>
        <v>0</v>
      </c>
      <c r="AA79" s="363">
        <f t="shared" si="19"/>
        <v>0</v>
      </c>
      <c r="AB79" s="363">
        <f t="shared" si="19"/>
        <v>0</v>
      </c>
      <c r="AC79" s="363">
        <f t="shared" si="19"/>
        <v>0</v>
      </c>
      <c r="AD79" s="363">
        <f t="shared" si="19"/>
        <v>0</v>
      </c>
      <c r="AE79" s="363">
        <f t="shared" si="19"/>
        <v>0</v>
      </c>
      <c r="AF79" s="363">
        <f t="shared" si="19"/>
        <v>0</v>
      </c>
      <c r="AG79" s="363">
        <f t="shared" si="19"/>
        <v>0</v>
      </c>
      <c r="AH79" s="363">
        <f t="shared" si="19"/>
        <v>0</v>
      </c>
      <c r="AI79" s="363">
        <f t="shared" si="19"/>
        <v>0</v>
      </c>
      <c r="AJ79" s="363">
        <f t="shared" si="19"/>
        <v>0</v>
      </c>
      <c r="AK79" s="363">
        <f t="shared" si="19"/>
        <v>0</v>
      </c>
      <c r="AL79" s="363">
        <f t="shared" si="19"/>
        <v>0</v>
      </c>
      <c r="AM79" s="363">
        <f t="shared" si="19"/>
        <v>0</v>
      </c>
      <c r="AN79" s="363">
        <f t="shared" si="19"/>
        <v>0</v>
      </c>
      <c r="AO79" s="363">
        <f t="shared" si="19"/>
        <v>0</v>
      </c>
      <c r="AP79" s="363">
        <f t="shared" si="19"/>
        <v>0</v>
      </c>
      <c r="AQ79" s="363">
        <f t="shared" si="19"/>
        <v>0</v>
      </c>
      <c r="AR79" s="363">
        <f t="shared" si="19"/>
        <v>0</v>
      </c>
      <c r="AS79" s="363">
        <f t="shared" si="19"/>
        <v>0</v>
      </c>
      <c r="AT79" s="363">
        <f t="shared" si="19"/>
        <v>0</v>
      </c>
      <c r="AU79" s="363">
        <f t="shared" si="19"/>
        <v>0</v>
      </c>
      <c r="AV79" s="363">
        <f t="shared" si="19"/>
        <v>0</v>
      </c>
    </row>
    <row r="80" spans="1:48" x14ac:dyDescent="0.25">
      <c r="A80" s="350" t="s">
        <v>1444</v>
      </c>
      <c r="B80" t="s">
        <v>1461</v>
      </c>
      <c r="C80" t="s">
        <v>1530</v>
      </c>
      <c r="D80">
        <f t="shared" si="18"/>
        <v>0</v>
      </c>
      <c r="E80">
        <f t="shared" si="18"/>
        <v>0</v>
      </c>
      <c r="F80">
        <f t="shared" si="18"/>
        <v>0</v>
      </c>
      <c r="G80">
        <f t="shared" si="18"/>
        <v>0</v>
      </c>
      <c r="H80">
        <f t="shared" si="18"/>
        <v>0</v>
      </c>
      <c r="I80">
        <f t="shared" si="18"/>
        <v>0</v>
      </c>
      <c r="J80">
        <f t="shared" si="18"/>
        <v>0</v>
      </c>
      <c r="K80">
        <f t="shared" si="18"/>
        <v>0</v>
      </c>
      <c r="L80">
        <f t="shared" si="18"/>
        <v>0</v>
      </c>
      <c r="M80">
        <f t="shared" si="18"/>
        <v>0</v>
      </c>
      <c r="N80">
        <f t="shared" si="18"/>
        <v>0</v>
      </c>
      <c r="O80" s="363">
        <f t="shared" si="17"/>
        <v>0</v>
      </c>
      <c r="P80" s="363">
        <f t="shared" si="19"/>
        <v>0</v>
      </c>
      <c r="Q80" s="363">
        <f t="shared" si="19"/>
        <v>0</v>
      </c>
      <c r="R80" s="363">
        <f t="shared" si="19"/>
        <v>0</v>
      </c>
      <c r="S80" s="363">
        <f t="shared" si="19"/>
        <v>0</v>
      </c>
      <c r="T80" s="363">
        <f t="shared" si="19"/>
        <v>0</v>
      </c>
      <c r="U80" s="363">
        <f t="shared" si="19"/>
        <v>0</v>
      </c>
      <c r="V80" s="363">
        <f t="shared" si="19"/>
        <v>0</v>
      </c>
      <c r="W80" s="363">
        <f t="shared" si="19"/>
        <v>0</v>
      </c>
      <c r="X80" s="363">
        <f t="shared" si="19"/>
        <v>0</v>
      </c>
      <c r="Y80" s="363">
        <f t="shared" si="19"/>
        <v>0</v>
      </c>
      <c r="Z80" s="363">
        <f t="shared" si="19"/>
        <v>0</v>
      </c>
      <c r="AA80" s="363">
        <f t="shared" si="19"/>
        <v>0</v>
      </c>
      <c r="AB80" s="363">
        <f t="shared" si="19"/>
        <v>0</v>
      </c>
      <c r="AC80" s="363">
        <f t="shared" si="19"/>
        <v>0</v>
      </c>
      <c r="AD80" s="363">
        <f t="shared" si="19"/>
        <v>0</v>
      </c>
      <c r="AE80" s="363">
        <f t="shared" si="19"/>
        <v>0</v>
      </c>
      <c r="AF80" s="363">
        <f t="shared" si="19"/>
        <v>0</v>
      </c>
      <c r="AG80" s="363">
        <f t="shared" si="19"/>
        <v>0</v>
      </c>
      <c r="AH80" s="363">
        <f t="shared" si="19"/>
        <v>0</v>
      </c>
      <c r="AI80" s="363">
        <f t="shared" si="19"/>
        <v>0</v>
      </c>
      <c r="AJ80" s="363">
        <f t="shared" si="19"/>
        <v>0</v>
      </c>
      <c r="AK80" s="363">
        <f t="shared" si="19"/>
        <v>0</v>
      </c>
      <c r="AL80" s="363">
        <f t="shared" si="19"/>
        <v>0</v>
      </c>
      <c r="AM80" s="363">
        <f t="shared" si="19"/>
        <v>0</v>
      </c>
      <c r="AN80" s="363">
        <f t="shared" si="19"/>
        <v>0</v>
      </c>
      <c r="AO80" s="363">
        <f t="shared" si="19"/>
        <v>0</v>
      </c>
      <c r="AP80" s="363">
        <f t="shared" si="19"/>
        <v>0</v>
      </c>
      <c r="AQ80" s="363">
        <f t="shared" si="19"/>
        <v>0</v>
      </c>
      <c r="AR80" s="363">
        <f t="shared" si="19"/>
        <v>0</v>
      </c>
      <c r="AS80" s="363">
        <f t="shared" si="19"/>
        <v>0</v>
      </c>
      <c r="AT80" s="363">
        <f t="shared" si="19"/>
        <v>0</v>
      </c>
      <c r="AU80" s="363">
        <f t="shared" si="19"/>
        <v>0</v>
      </c>
      <c r="AV80" s="363">
        <f t="shared" si="19"/>
        <v>0</v>
      </c>
    </row>
    <row r="81" spans="1:48" x14ac:dyDescent="0.25">
      <c r="A81" s="350" t="s">
        <v>1445</v>
      </c>
      <c r="B81" t="s">
        <v>229</v>
      </c>
      <c r="C81" t="s">
        <v>1530</v>
      </c>
      <c r="D81">
        <f t="shared" si="18"/>
        <v>0</v>
      </c>
      <c r="E81">
        <f t="shared" si="18"/>
        <v>0</v>
      </c>
      <c r="F81">
        <f t="shared" si="18"/>
        <v>0</v>
      </c>
      <c r="G81">
        <f t="shared" si="18"/>
        <v>0</v>
      </c>
      <c r="H81">
        <f t="shared" si="18"/>
        <v>0</v>
      </c>
      <c r="I81">
        <f t="shared" si="18"/>
        <v>0</v>
      </c>
      <c r="J81">
        <f t="shared" si="18"/>
        <v>0</v>
      </c>
      <c r="K81">
        <f t="shared" si="18"/>
        <v>0</v>
      </c>
      <c r="L81">
        <f t="shared" si="18"/>
        <v>0</v>
      </c>
      <c r="M81">
        <f t="shared" si="18"/>
        <v>0</v>
      </c>
      <c r="N81">
        <f t="shared" si="18"/>
        <v>0</v>
      </c>
      <c r="O81" s="363">
        <f t="shared" si="17"/>
        <v>0</v>
      </c>
      <c r="P81" s="363">
        <f t="shared" si="19"/>
        <v>0</v>
      </c>
      <c r="Q81" s="363">
        <f t="shared" si="19"/>
        <v>0</v>
      </c>
      <c r="R81" s="363">
        <f t="shared" si="19"/>
        <v>0</v>
      </c>
      <c r="S81" s="363">
        <f t="shared" si="19"/>
        <v>0</v>
      </c>
      <c r="T81" s="363">
        <f t="shared" si="19"/>
        <v>0</v>
      </c>
      <c r="U81" s="363">
        <f t="shared" si="19"/>
        <v>0</v>
      </c>
      <c r="V81" s="363">
        <f t="shared" si="19"/>
        <v>0</v>
      </c>
      <c r="W81" s="363">
        <f t="shared" si="19"/>
        <v>0</v>
      </c>
      <c r="X81" s="363">
        <f t="shared" si="19"/>
        <v>0</v>
      </c>
      <c r="Y81" s="363">
        <f t="shared" si="19"/>
        <v>0</v>
      </c>
      <c r="Z81" s="363">
        <f t="shared" si="19"/>
        <v>0</v>
      </c>
      <c r="AA81" s="363">
        <f t="shared" si="19"/>
        <v>0</v>
      </c>
      <c r="AB81" s="363">
        <f t="shared" si="19"/>
        <v>0</v>
      </c>
      <c r="AC81" s="363">
        <f t="shared" si="19"/>
        <v>0</v>
      </c>
      <c r="AD81" s="363">
        <f t="shared" si="19"/>
        <v>0</v>
      </c>
      <c r="AE81" s="363">
        <f t="shared" si="19"/>
        <v>0</v>
      </c>
      <c r="AF81" s="363">
        <f t="shared" si="19"/>
        <v>0</v>
      </c>
      <c r="AG81" s="363">
        <f t="shared" si="19"/>
        <v>0</v>
      </c>
      <c r="AH81" s="363">
        <f t="shared" si="19"/>
        <v>0</v>
      </c>
      <c r="AI81" s="363">
        <f t="shared" si="19"/>
        <v>0</v>
      </c>
      <c r="AJ81" s="363">
        <f t="shared" si="19"/>
        <v>0</v>
      </c>
      <c r="AK81" s="363">
        <f t="shared" si="19"/>
        <v>0</v>
      </c>
      <c r="AL81" s="363">
        <f t="shared" si="19"/>
        <v>0</v>
      </c>
      <c r="AM81" s="363">
        <f t="shared" si="19"/>
        <v>0</v>
      </c>
      <c r="AN81" s="363">
        <f t="shared" si="19"/>
        <v>0</v>
      </c>
      <c r="AO81" s="363">
        <f t="shared" si="19"/>
        <v>0</v>
      </c>
      <c r="AP81" s="363">
        <f t="shared" si="19"/>
        <v>0</v>
      </c>
      <c r="AQ81" s="363">
        <f t="shared" si="19"/>
        <v>0</v>
      </c>
      <c r="AR81" s="363">
        <f t="shared" si="19"/>
        <v>0</v>
      </c>
      <c r="AS81" s="363">
        <f t="shared" si="19"/>
        <v>0</v>
      </c>
      <c r="AT81" s="363">
        <f t="shared" si="19"/>
        <v>0</v>
      </c>
      <c r="AU81" s="363">
        <f t="shared" si="19"/>
        <v>0</v>
      </c>
      <c r="AV81" s="363">
        <f t="shared" si="19"/>
        <v>0</v>
      </c>
    </row>
    <row r="82" spans="1:48" x14ac:dyDescent="0.25">
      <c r="A82" s="351" t="s">
        <v>1724</v>
      </c>
      <c r="B82" t="s">
        <v>295</v>
      </c>
      <c r="C82" t="s">
        <v>1530</v>
      </c>
      <c r="D82">
        <f t="shared" si="18"/>
        <v>0</v>
      </c>
      <c r="E82">
        <f t="shared" si="18"/>
        <v>0</v>
      </c>
      <c r="F82">
        <f t="shared" si="18"/>
        <v>0</v>
      </c>
      <c r="G82">
        <f t="shared" si="18"/>
        <v>0</v>
      </c>
      <c r="H82">
        <f t="shared" si="18"/>
        <v>0</v>
      </c>
      <c r="I82">
        <f t="shared" si="18"/>
        <v>0</v>
      </c>
      <c r="J82">
        <f t="shared" si="18"/>
        <v>0</v>
      </c>
      <c r="K82">
        <f t="shared" si="18"/>
        <v>0</v>
      </c>
      <c r="L82">
        <f t="shared" si="18"/>
        <v>0</v>
      </c>
      <c r="M82">
        <f t="shared" si="18"/>
        <v>0</v>
      </c>
      <c r="N82">
        <f t="shared" si="18"/>
        <v>0</v>
      </c>
      <c r="O82" s="363">
        <f t="shared" si="17"/>
        <v>0</v>
      </c>
      <c r="P82" s="363">
        <f t="shared" si="19"/>
        <v>0</v>
      </c>
      <c r="Q82" s="363">
        <f t="shared" si="19"/>
        <v>0</v>
      </c>
      <c r="R82" s="363">
        <f t="shared" si="19"/>
        <v>0</v>
      </c>
      <c r="S82" s="363">
        <f t="shared" si="19"/>
        <v>0</v>
      </c>
      <c r="T82" s="363">
        <f t="shared" si="19"/>
        <v>0</v>
      </c>
      <c r="U82" s="363">
        <f t="shared" si="19"/>
        <v>0</v>
      </c>
      <c r="V82" s="363">
        <f t="shared" si="19"/>
        <v>0</v>
      </c>
      <c r="W82" s="363">
        <f t="shared" si="19"/>
        <v>0</v>
      </c>
      <c r="X82" s="363">
        <f t="shared" si="19"/>
        <v>0</v>
      </c>
      <c r="Y82" s="363">
        <f t="shared" si="19"/>
        <v>0</v>
      </c>
      <c r="Z82" s="363">
        <f t="shared" si="19"/>
        <v>0</v>
      </c>
      <c r="AA82" s="363">
        <f t="shared" si="19"/>
        <v>0</v>
      </c>
      <c r="AB82" s="363">
        <f t="shared" si="19"/>
        <v>0</v>
      </c>
      <c r="AC82" s="363">
        <f t="shared" si="19"/>
        <v>0</v>
      </c>
      <c r="AD82" s="363">
        <f t="shared" si="19"/>
        <v>0</v>
      </c>
      <c r="AE82" s="363">
        <f t="shared" si="19"/>
        <v>0</v>
      </c>
      <c r="AF82" s="363">
        <f t="shared" si="19"/>
        <v>0</v>
      </c>
      <c r="AG82" s="363">
        <f t="shared" si="19"/>
        <v>0</v>
      </c>
      <c r="AH82" s="363">
        <f t="shared" si="19"/>
        <v>0</v>
      </c>
      <c r="AI82" s="363">
        <f t="shared" si="19"/>
        <v>0</v>
      </c>
      <c r="AJ82" s="363">
        <f t="shared" si="19"/>
        <v>0</v>
      </c>
      <c r="AK82" s="363">
        <f t="shared" si="19"/>
        <v>0</v>
      </c>
      <c r="AL82" s="363">
        <f t="shared" si="19"/>
        <v>0</v>
      </c>
      <c r="AM82" s="363">
        <f t="shared" si="19"/>
        <v>0</v>
      </c>
      <c r="AN82" s="363">
        <f t="shared" si="19"/>
        <v>0</v>
      </c>
      <c r="AO82" s="363">
        <f t="shared" si="19"/>
        <v>0</v>
      </c>
      <c r="AP82" s="363">
        <f t="shared" si="19"/>
        <v>0</v>
      </c>
      <c r="AQ82" s="363">
        <f t="shared" si="19"/>
        <v>0</v>
      </c>
      <c r="AR82" s="363">
        <f t="shared" si="19"/>
        <v>0</v>
      </c>
      <c r="AS82" s="363">
        <f t="shared" si="19"/>
        <v>0</v>
      </c>
      <c r="AT82" s="363">
        <f t="shared" ref="P82:AV90" si="20">IFERROR(IF($N82-$D82&gt;=0,($N82-$D82)/COUNT($E$1:$N$1)+AS82,$F436*$E436^AT$1),0)</f>
        <v>0</v>
      </c>
      <c r="AU82" s="363">
        <f t="shared" si="20"/>
        <v>0</v>
      </c>
      <c r="AV82" s="363">
        <f t="shared" si="20"/>
        <v>0</v>
      </c>
    </row>
    <row r="83" spans="1:48" x14ac:dyDescent="0.25">
      <c r="A83" s="350" t="s">
        <v>1447</v>
      </c>
      <c r="B83" t="s">
        <v>229</v>
      </c>
      <c r="C83" t="s">
        <v>1530</v>
      </c>
      <c r="D83">
        <f t="shared" si="18"/>
        <v>0</v>
      </c>
      <c r="E83">
        <f t="shared" si="18"/>
        <v>0</v>
      </c>
      <c r="F83">
        <f t="shared" si="18"/>
        <v>0</v>
      </c>
      <c r="G83">
        <f t="shared" si="18"/>
        <v>0</v>
      </c>
      <c r="H83">
        <f t="shared" si="18"/>
        <v>0</v>
      </c>
      <c r="I83">
        <f t="shared" si="18"/>
        <v>0</v>
      </c>
      <c r="J83">
        <f t="shared" si="18"/>
        <v>0</v>
      </c>
      <c r="K83">
        <f t="shared" si="18"/>
        <v>0</v>
      </c>
      <c r="L83">
        <f t="shared" si="18"/>
        <v>0</v>
      </c>
      <c r="M83">
        <f t="shared" si="18"/>
        <v>0</v>
      </c>
      <c r="N83">
        <f t="shared" si="18"/>
        <v>0</v>
      </c>
      <c r="O83" s="363">
        <f t="shared" si="17"/>
        <v>0</v>
      </c>
      <c r="P83" s="363">
        <f t="shared" si="20"/>
        <v>0</v>
      </c>
      <c r="Q83" s="363">
        <f t="shared" si="20"/>
        <v>0</v>
      </c>
      <c r="R83" s="363">
        <f t="shared" si="20"/>
        <v>0</v>
      </c>
      <c r="S83" s="363">
        <f t="shared" si="20"/>
        <v>0</v>
      </c>
      <c r="T83" s="363">
        <f t="shared" si="20"/>
        <v>0</v>
      </c>
      <c r="U83" s="363">
        <f t="shared" si="20"/>
        <v>0</v>
      </c>
      <c r="V83" s="363">
        <f t="shared" si="20"/>
        <v>0</v>
      </c>
      <c r="W83" s="363">
        <f t="shared" si="20"/>
        <v>0</v>
      </c>
      <c r="X83" s="363">
        <f t="shared" si="20"/>
        <v>0</v>
      </c>
      <c r="Y83" s="363">
        <f t="shared" si="20"/>
        <v>0</v>
      </c>
      <c r="Z83" s="363">
        <f t="shared" si="20"/>
        <v>0</v>
      </c>
      <c r="AA83" s="363">
        <f t="shared" si="20"/>
        <v>0</v>
      </c>
      <c r="AB83" s="363">
        <f t="shared" si="20"/>
        <v>0</v>
      </c>
      <c r="AC83" s="363">
        <f t="shared" si="20"/>
        <v>0</v>
      </c>
      <c r="AD83" s="363">
        <f t="shared" si="20"/>
        <v>0</v>
      </c>
      <c r="AE83" s="363">
        <f t="shared" si="20"/>
        <v>0</v>
      </c>
      <c r="AF83" s="363">
        <f t="shared" si="20"/>
        <v>0</v>
      </c>
      <c r="AG83" s="363">
        <f t="shared" si="20"/>
        <v>0</v>
      </c>
      <c r="AH83" s="363">
        <f t="shared" si="20"/>
        <v>0</v>
      </c>
      <c r="AI83" s="363">
        <f t="shared" si="20"/>
        <v>0</v>
      </c>
      <c r="AJ83" s="363">
        <f t="shared" si="20"/>
        <v>0</v>
      </c>
      <c r="AK83" s="363">
        <f t="shared" si="20"/>
        <v>0</v>
      </c>
      <c r="AL83" s="363">
        <f t="shared" si="20"/>
        <v>0</v>
      </c>
      <c r="AM83" s="363">
        <f t="shared" si="20"/>
        <v>0</v>
      </c>
      <c r="AN83" s="363">
        <f t="shared" si="20"/>
        <v>0</v>
      </c>
      <c r="AO83" s="363">
        <f t="shared" si="20"/>
        <v>0</v>
      </c>
      <c r="AP83" s="363">
        <f t="shared" si="20"/>
        <v>0</v>
      </c>
      <c r="AQ83" s="363">
        <f t="shared" si="20"/>
        <v>0</v>
      </c>
      <c r="AR83" s="363">
        <f t="shared" si="20"/>
        <v>0</v>
      </c>
      <c r="AS83" s="363">
        <f t="shared" si="20"/>
        <v>0</v>
      </c>
      <c r="AT83" s="363">
        <f t="shared" si="20"/>
        <v>0</v>
      </c>
      <c r="AU83" s="363">
        <f t="shared" si="20"/>
        <v>0</v>
      </c>
      <c r="AV83" s="363">
        <f t="shared" si="20"/>
        <v>0</v>
      </c>
    </row>
    <row r="84" spans="1:48" x14ac:dyDescent="0.25">
      <c r="A84" s="350" t="s">
        <v>1448</v>
      </c>
      <c r="B84" t="s">
        <v>228</v>
      </c>
      <c r="C84" t="s">
        <v>1530</v>
      </c>
      <c r="D84">
        <f t="shared" si="18"/>
        <v>0</v>
      </c>
      <c r="E84">
        <f t="shared" si="18"/>
        <v>0</v>
      </c>
      <c r="F84">
        <f t="shared" si="18"/>
        <v>0</v>
      </c>
      <c r="G84">
        <f t="shared" si="18"/>
        <v>0</v>
      </c>
      <c r="H84">
        <f t="shared" si="18"/>
        <v>0</v>
      </c>
      <c r="I84">
        <f t="shared" si="18"/>
        <v>0</v>
      </c>
      <c r="J84">
        <f t="shared" si="18"/>
        <v>0</v>
      </c>
      <c r="K84">
        <f t="shared" si="18"/>
        <v>0</v>
      </c>
      <c r="L84">
        <f t="shared" si="18"/>
        <v>0</v>
      </c>
      <c r="M84">
        <f t="shared" si="18"/>
        <v>0</v>
      </c>
      <c r="N84">
        <f t="shared" si="18"/>
        <v>0</v>
      </c>
      <c r="O84" s="363">
        <f t="shared" si="17"/>
        <v>0</v>
      </c>
      <c r="P84" s="363">
        <f t="shared" si="20"/>
        <v>0</v>
      </c>
      <c r="Q84" s="363">
        <f t="shared" si="20"/>
        <v>0</v>
      </c>
      <c r="R84" s="363">
        <f t="shared" si="20"/>
        <v>0</v>
      </c>
      <c r="S84" s="363">
        <f t="shared" si="20"/>
        <v>0</v>
      </c>
      <c r="T84" s="363">
        <f t="shared" si="20"/>
        <v>0</v>
      </c>
      <c r="U84" s="363">
        <f t="shared" si="20"/>
        <v>0</v>
      </c>
      <c r="V84" s="363">
        <f t="shared" si="20"/>
        <v>0</v>
      </c>
      <c r="W84" s="363">
        <f t="shared" si="20"/>
        <v>0</v>
      </c>
      <c r="X84" s="363">
        <f t="shared" si="20"/>
        <v>0</v>
      </c>
      <c r="Y84" s="363">
        <f t="shared" si="20"/>
        <v>0</v>
      </c>
      <c r="Z84" s="363">
        <f t="shared" si="20"/>
        <v>0</v>
      </c>
      <c r="AA84" s="363">
        <f t="shared" si="20"/>
        <v>0</v>
      </c>
      <c r="AB84" s="363">
        <f t="shared" si="20"/>
        <v>0</v>
      </c>
      <c r="AC84" s="363">
        <f t="shared" si="20"/>
        <v>0</v>
      </c>
      <c r="AD84" s="363">
        <f t="shared" si="20"/>
        <v>0</v>
      </c>
      <c r="AE84" s="363">
        <f t="shared" si="20"/>
        <v>0</v>
      </c>
      <c r="AF84" s="363">
        <f t="shared" si="20"/>
        <v>0</v>
      </c>
      <c r="AG84" s="363">
        <f t="shared" si="20"/>
        <v>0</v>
      </c>
      <c r="AH84" s="363">
        <f t="shared" si="20"/>
        <v>0</v>
      </c>
      <c r="AI84" s="363">
        <f t="shared" si="20"/>
        <v>0</v>
      </c>
      <c r="AJ84" s="363">
        <f t="shared" si="20"/>
        <v>0</v>
      </c>
      <c r="AK84" s="363">
        <f t="shared" si="20"/>
        <v>0</v>
      </c>
      <c r="AL84" s="363">
        <f t="shared" si="20"/>
        <v>0</v>
      </c>
      <c r="AM84" s="363">
        <f t="shared" si="20"/>
        <v>0</v>
      </c>
      <c r="AN84" s="363">
        <f t="shared" si="20"/>
        <v>0</v>
      </c>
      <c r="AO84" s="363">
        <f t="shared" si="20"/>
        <v>0</v>
      </c>
      <c r="AP84" s="363">
        <f t="shared" si="20"/>
        <v>0</v>
      </c>
      <c r="AQ84" s="363">
        <f t="shared" si="20"/>
        <v>0</v>
      </c>
      <c r="AR84" s="363">
        <f t="shared" si="20"/>
        <v>0</v>
      </c>
      <c r="AS84" s="363">
        <f t="shared" si="20"/>
        <v>0</v>
      </c>
      <c r="AT84" s="363">
        <f t="shared" si="20"/>
        <v>0</v>
      </c>
      <c r="AU84" s="363">
        <f t="shared" si="20"/>
        <v>0</v>
      </c>
      <c r="AV84" s="363">
        <f t="shared" si="20"/>
        <v>0</v>
      </c>
    </row>
    <row r="85" spans="1:48" x14ac:dyDescent="0.25">
      <c r="A85" s="350" t="s">
        <v>1449</v>
      </c>
      <c r="B85" t="s">
        <v>295</v>
      </c>
      <c r="C85" t="s">
        <v>1530</v>
      </c>
      <c r="D85">
        <f t="shared" ref="D85:N98" si="21">IFERROR(INDEX($B$246:$AB$249,MATCH($A85,$A$246:$A$249,0),MATCH(D$1,$B$176:$AB$176,0)),0)</f>
        <v>0</v>
      </c>
      <c r="E85">
        <f t="shared" si="21"/>
        <v>0</v>
      </c>
      <c r="F85">
        <f t="shared" si="21"/>
        <v>0</v>
      </c>
      <c r="G85">
        <f t="shared" si="21"/>
        <v>0</v>
      </c>
      <c r="H85">
        <f t="shared" si="21"/>
        <v>0</v>
      </c>
      <c r="I85">
        <f t="shared" si="21"/>
        <v>0</v>
      </c>
      <c r="J85">
        <f t="shared" si="21"/>
        <v>0</v>
      </c>
      <c r="K85">
        <f t="shared" si="21"/>
        <v>0</v>
      </c>
      <c r="L85">
        <f t="shared" si="21"/>
        <v>0</v>
      </c>
      <c r="M85">
        <f t="shared" si="21"/>
        <v>0</v>
      </c>
      <c r="N85">
        <f t="shared" si="21"/>
        <v>0</v>
      </c>
      <c r="O85" s="363">
        <f t="shared" si="17"/>
        <v>0</v>
      </c>
      <c r="P85" s="363">
        <f t="shared" si="20"/>
        <v>0</v>
      </c>
      <c r="Q85" s="363">
        <f t="shared" si="20"/>
        <v>0</v>
      </c>
      <c r="R85" s="363">
        <f t="shared" si="20"/>
        <v>0</v>
      </c>
      <c r="S85" s="363">
        <f t="shared" si="20"/>
        <v>0</v>
      </c>
      <c r="T85" s="363">
        <f t="shared" si="20"/>
        <v>0</v>
      </c>
      <c r="U85" s="363">
        <f t="shared" si="20"/>
        <v>0</v>
      </c>
      <c r="V85" s="363">
        <f t="shared" si="20"/>
        <v>0</v>
      </c>
      <c r="W85" s="363">
        <f t="shared" si="20"/>
        <v>0</v>
      </c>
      <c r="X85" s="363">
        <f t="shared" si="20"/>
        <v>0</v>
      </c>
      <c r="Y85" s="363">
        <f t="shared" si="20"/>
        <v>0</v>
      </c>
      <c r="Z85" s="363">
        <f t="shared" si="20"/>
        <v>0</v>
      </c>
      <c r="AA85" s="363">
        <f t="shared" si="20"/>
        <v>0</v>
      </c>
      <c r="AB85" s="363">
        <f t="shared" si="20"/>
        <v>0</v>
      </c>
      <c r="AC85" s="363">
        <f t="shared" si="20"/>
        <v>0</v>
      </c>
      <c r="AD85" s="363">
        <f t="shared" si="20"/>
        <v>0</v>
      </c>
      <c r="AE85" s="363">
        <f t="shared" si="20"/>
        <v>0</v>
      </c>
      <c r="AF85" s="363">
        <f t="shared" si="20"/>
        <v>0</v>
      </c>
      <c r="AG85" s="363">
        <f t="shared" si="20"/>
        <v>0</v>
      </c>
      <c r="AH85" s="363">
        <f t="shared" si="20"/>
        <v>0</v>
      </c>
      <c r="AI85" s="363">
        <f t="shared" si="20"/>
        <v>0</v>
      </c>
      <c r="AJ85" s="363">
        <f t="shared" si="20"/>
        <v>0</v>
      </c>
      <c r="AK85" s="363">
        <f t="shared" si="20"/>
        <v>0</v>
      </c>
      <c r="AL85" s="363">
        <f t="shared" si="20"/>
        <v>0</v>
      </c>
      <c r="AM85" s="363">
        <f t="shared" si="20"/>
        <v>0</v>
      </c>
      <c r="AN85" s="363">
        <f t="shared" si="20"/>
        <v>0</v>
      </c>
      <c r="AO85" s="363">
        <f t="shared" si="20"/>
        <v>0</v>
      </c>
      <c r="AP85" s="363">
        <f t="shared" si="20"/>
        <v>0</v>
      </c>
      <c r="AQ85" s="363">
        <f t="shared" si="20"/>
        <v>0</v>
      </c>
      <c r="AR85" s="363">
        <f t="shared" si="20"/>
        <v>0</v>
      </c>
      <c r="AS85" s="363">
        <f t="shared" si="20"/>
        <v>0</v>
      </c>
      <c r="AT85" s="363">
        <f t="shared" si="20"/>
        <v>0</v>
      </c>
      <c r="AU85" s="363">
        <f t="shared" si="20"/>
        <v>0</v>
      </c>
      <c r="AV85" s="363">
        <f t="shared" si="20"/>
        <v>0</v>
      </c>
    </row>
    <row r="86" spans="1:48" x14ac:dyDescent="0.25">
      <c r="A86" s="350" t="s">
        <v>1450</v>
      </c>
      <c r="B86" t="s">
        <v>295</v>
      </c>
      <c r="C86" t="s">
        <v>1530</v>
      </c>
      <c r="D86">
        <f t="shared" si="21"/>
        <v>0</v>
      </c>
      <c r="E86">
        <f t="shared" si="21"/>
        <v>0</v>
      </c>
      <c r="F86">
        <f t="shared" si="21"/>
        <v>0</v>
      </c>
      <c r="G86">
        <f t="shared" si="21"/>
        <v>0</v>
      </c>
      <c r="H86">
        <f t="shared" si="21"/>
        <v>0</v>
      </c>
      <c r="I86">
        <f t="shared" si="21"/>
        <v>0</v>
      </c>
      <c r="J86">
        <f t="shared" si="21"/>
        <v>0</v>
      </c>
      <c r="K86">
        <f t="shared" si="21"/>
        <v>0</v>
      </c>
      <c r="L86">
        <f t="shared" si="21"/>
        <v>0</v>
      </c>
      <c r="M86">
        <f t="shared" si="21"/>
        <v>0</v>
      </c>
      <c r="N86">
        <f t="shared" si="21"/>
        <v>0</v>
      </c>
      <c r="O86" s="363">
        <f t="shared" si="17"/>
        <v>0</v>
      </c>
      <c r="P86" s="363">
        <f t="shared" si="20"/>
        <v>0</v>
      </c>
      <c r="Q86" s="363">
        <f t="shared" si="20"/>
        <v>0</v>
      </c>
      <c r="R86" s="363">
        <f t="shared" si="20"/>
        <v>0</v>
      </c>
      <c r="S86" s="363">
        <f t="shared" si="20"/>
        <v>0</v>
      </c>
      <c r="T86" s="363">
        <f t="shared" si="20"/>
        <v>0</v>
      </c>
      <c r="U86" s="363">
        <f t="shared" si="20"/>
        <v>0</v>
      </c>
      <c r="V86" s="363">
        <f t="shared" si="20"/>
        <v>0</v>
      </c>
      <c r="W86" s="363">
        <f t="shared" si="20"/>
        <v>0</v>
      </c>
      <c r="X86" s="363">
        <f t="shared" si="20"/>
        <v>0</v>
      </c>
      <c r="Y86" s="363">
        <f t="shared" si="20"/>
        <v>0</v>
      </c>
      <c r="Z86" s="363">
        <f t="shared" si="20"/>
        <v>0</v>
      </c>
      <c r="AA86" s="363">
        <f t="shared" si="20"/>
        <v>0</v>
      </c>
      <c r="AB86" s="363">
        <f t="shared" si="20"/>
        <v>0</v>
      </c>
      <c r="AC86" s="363">
        <f t="shared" si="20"/>
        <v>0</v>
      </c>
      <c r="AD86" s="363">
        <f t="shared" si="20"/>
        <v>0</v>
      </c>
      <c r="AE86" s="363">
        <f t="shared" si="20"/>
        <v>0</v>
      </c>
      <c r="AF86" s="363">
        <f t="shared" si="20"/>
        <v>0</v>
      </c>
      <c r="AG86" s="363">
        <f t="shared" si="20"/>
        <v>0</v>
      </c>
      <c r="AH86" s="363">
        <f t="shared" si="20"/>
        <v>0</v>
      </c>
      <c r="AI86" s="363">
        <f t="shared" si="20"/>
        <v>0</v>
      </c>
      <c r="AJ86" s="363">
        <f t="shared" si="20"/>
        <v>0</v>
      </c>
      <c r="AK86" s="363">
        <f t="shared" si="20"/>
        <v>0</v>
      </c>
      <c r="AL86" s="363">
        <f t="shared" si="20"/>
        <v>0</v>
      </c>
      <c r="AM86" s="363">
        <f t="shared" si="20"/>
        <v>0</v>
      </c>
      <c r="AN86" s="363">
        <f t="shared" si="20"/>
        <v>0</v>
      </c>
      <c r="AO86" s="363">
        <f t="shared" si="20"/>
        <v>0</v>
      </c>
      <c r="AP86" s="363">
        <f t="shared" si="20"/>
        <v>0</v>
      </c>
      <c r="AQ86" s="363">
        <f t="shared" si="20"/>
        <v>0</v>
      </c>
      <c r="AR86" s="363">
        <f t="shared" si="20"/>
        <v>0</v>
      </c>
      <c r="AS86" s="363">
        <f t="shared" si="20"/>
        <v>0</v>
      </c>
      <c r="AT86" s="363">
        <f t="shared" si="20"/>
        <v>0</v>
      </c>
      <c r="AU86" s="363">
        <f t="shared" si="20"/>
        <v>0</v>
      </c>
      <c r="AV86" s="363">
        <f t="shared" si="20"/>
        <v>0</v>
      </c>
    </row>
    <row r="87" spans="1:48" x14ac:dyDescent="0.25">
      <c r="A87" s="350" t="s">
        <v>1451</v>
      </c>
      <c r="B87" t="s">
        <v>295</v>
      </c>
      <c r="C87" t="s">
        <v>1530</v>
      </c>
      <c r="D87">
        <f t="shared" si="21"/>
        <v>0</v>
      </c>
      <c r="E87">
        <f t="shared" si="21"/>
        <v>0</v>
      </c>
      <c r="F87">
        <f t="shared" si="21"/>
        <v>0</v>
      </c>
      <c r="G87">
        <f t="shared" si="21"/>
        <v>0</v>
      </c>
      <c r="H87">
        <f t="shared" si="21"/>
        <v>0</v>
      </c>
      <c r="I87">
        <f t="shared" si="21"/>
        <v>0</v>
      </c>
      <c r="J87">
        <f t="shared" si="21"/>
        <v>0</v>
      </c>
      <c r="K87">
        <f t="shared" si="21"/>
        <v>0</v>
      </c>
      <c r="L87">
        <f t="shared" si="21"/>
        <v>0</v>
      </c>
      <c r="M87">
        <f t="shared" si="21"/>
        <v>0</v>
      </c>
      <c r="N87">
        <f t="shared" si="21"/>
        <v>0</v>
      </c>
      <c r="O87" s="363">
        <f t="shared" si="17"/>
        <v>0</v>
      </c>
      <c r="P87" s="363">
        <f t="shared" si="20"/>
        <v>0</v>
      </c>
      <c r="Q87" s="363">
        <f t="shared" si="20"/>
        <v>0</v>
      </c>
      <c r="R87" s="363">
        <f t="shared" si="20"/>
        <v>0</v>
      </c>
      <c r="S87" s="363">
        <f t="shared" si="20"/>
        <v>0</v>
      </c>
      <c r="T87" s="363">
        <f t="shared" si="20"/>
        <v>0</v>
      </c>
      <c r="U87" s="363">
        <f t="shared" si="20"/>
        <v>0</v>
      </c>
      <c r="V87" s="363">
        <f t="shared" si="20"/>
        <v>0</v>
      </c>
      <c r="W87" s="363">
        <f t="shared" si="20"/>
        <v>0</v>
      </c>
      <c r="X87" s="363">
        <f t="shared" si="20"/>
        <v>0</v>
      </c>
      <c r="Y87" s="363">
        <f t="shared" si="20"/>
        <v>0</v>
      </c>
      <c r="Z87" s="363">
        <f t="shared" si="20"/>
        <v>0</v>
      </c>
      <c r="AA87" s="363">
        <f t="shared" si="20"/>
        <v>0</v>
      </c>
      <c r="AB87" s="363">
        <f t="shared" si="20"/>
        <v>0</v>
      </c>
      <c r="AC87" s="363">
        <f t="shared" si="20"/>
        <v>0</v>
      </c>
      <c r="AD87" s="363">
        <f t="shared" si="20"/>
        <v>0</v>
      </c>
      <c r="AE87" s="363">
        <f t="shared" si="20"/>
        <v>0</v>
      </c>
      <c r="AF87" s="363">
        <f t="shared" si="20"/>
        <v>0</v>
      </c>
      <c r="AG87" s="363">
        <f t="shared" si="20"/>
        <v>0</v>
      </c>
      <c r="AH87" s="363">
        <f t="shared" si="20"/>
        <v>0</v>
      </c>
      <c r="AI87" s="363">
        <f t="shared" si="20"/>
        <v>0</v>
      </c>
      <c r="AJ87" s="363">
        <f t="shared" si="20"/>
        <v>0</v>
      </c>
      <c r="AK87" s="363">
        <f t="shared" si="20"/>
        <v>0</v>
      </c>
      <c r="AL87" s="363">
        <f t="shared" si="20"/>
        <v>0</v>
      </c>
      <c r="AM87" s="363">
        <f t="shared" si="20"/>
        <v>0</v>
      </c>
      <c r="AN87" s="363">
        <f t="shared" si="20"/>
        <v>0</v>
      </c>
      <c r="AO87" s="363">
        <f t="shared" si="20"/>
        <v>0</v>
      </c>
      <c r="AP87" s="363">
        <f t="shared" si="20"/>
        <v>0</v>
      </c>
      <c r="AQ87" s="363">
        <f t="shared" si="20"/>
        <v>0</v>
      </c>
      <c r="AR87" s="363">
        <f t="shared" si="20"/>
        <v>0</v>
      </c>
      <c r="AS87" s="363">
        <f t="shared" si="20"/>
        <v>0</v>
      </c>
      <c r="AT87" s="363">
        <f t="shared" si="20"/>
        <v>0</v>
      </c>
      <c r="AU87" s="363">
        <f t="shared" si="20"/>
        <v>0</v>
      </c>
      <c r="AV87" s="363">
        <f t="shared" si="20"/>
        <v>0</v>
      </c>
    </row>
    <row r="88" spans="1:48" x14ac:dyDescent="0.25">
      <c r="A88" s="350" t="s">
        <v>1452</v>
      </c>
      <c r="B88" t="s">
        <v>229</v>
      </c>
      <c r="C88" t="s">
        <v>1530</v>
      </c>
      <c r="D88">
        <f t="shared" si="21"/>
        <v>0</v>
      </c>
      <c r="E88">
        <f t="shared" si="21"/>
        <v>0</v>
      </c>
      <c r="F88">
        <f t="shared" si="21"/>
        <v>0</v>
      </c>
      <c r="G88">
        <f t="shared" si="21"/>
        <v>0</v>
      </c>
      <c r="H88">
        <f t="shared" si="21"/>
        <v>0</v>
      </c>
      <c r="I88">
        <f t="shared" si="21"/>
        <v>0</v>
      </c>
      <c r="J88">
        <f t="shared" si="21"/>
        <v>0</v>
      </c>
      <c r="K88">
        <f t="shared" si="21"/>
        <v>0</v>
      </c>
      <c r="L88">
        <f t="shared" si="21"/>
        <v>0</v>
      </c>
      <c r="M88">
        <f t="shared" si="21"/>
        <v>0</v>
      </c>
      <c r="N88">
        <f t="shared" si="21"/>
        <v>0</v>
      </c>
      <c r="O88" s="363">
        <f t="shared" si="17"/>
        <v>0</v>
      </c>
      <c r="P88" s="363">
        <f t="shared" si="20"/>
        <v>0</v>
      </c>
      <c r="Q88" s="363">
        <f t="shared" si="20"/>
        <v>0</v>
      </c>
      <c r="R88" s="363">
        <f t="shared" si="20"/>
        <v>0</v>
      </c>
      <c r="S88" s="363">
        <f t="shared" si="20"/>
        <v>0</v>
      </c>
      <c r="T88" s="363">
        <f t="shared" si="20"/>
        <v>0</v>
      </c>
      <c r="U88" s="363">
        <f t="shared" si="20"/>
        <v>0</v>
      </c>
      <c r="V88" s="363">
        <f t="shared" si="20"/>
        <v>0</v>
      </c>
      <c r="W88" s="363">
        <f t="shared" si="20"/>
        <v>0</v>
      </c>
      <c r="X88" s="363">
        <f t="shared" si="20"/>
        <v>0</v>
      </c>
      <c r="Y88" s="363">
        <f t="shared" si="20"/>
        <v>0</v>
      </c>
      <c r="Z88" s="363">
        <f t="shared" si="20"/>
        <v>0</v>
      </c>
      <c r="AA88" s="363">
        <f t="shared" si="20"/>
        <v>0</v>
      </c>
      <c r="AB88" s="363">
        <f t="shared" si="20"/>
        <v>0</v>
      </c>
      <c r="AC88" s="363">
        <f t="shared" si="20"/>
        <v>0</v>
      </c>
      <c r="AD88" s="363">
        <f t="shared" si="20"/>
        <v>0</v>
      </c>
      <c r="AE88" s="363">
        <f t="shared" si="20"/>
        <v>0</v>
      </c>
      <c r="AF88" s="363">
        <f t="shared" si="20"/>
        <v>0</v>
      </c>
      <c r="AG88" s="363">
        <f t="shared" si="20"/>
        <v>0</v>
      </c>
      <c r="AH88" s="363">
        <f t="shared" si="20"/>
        <v>0</v>
      </c>
      <c r="AI88" s="363">
        <f t="shared" si="20"/>
        <v>0</v>
      </c>
      <c r="AJ88" s="363">
        <f t="shared" si="20"/>
        <v>0</v>
      </c>
      <c r="AK88" s="363">
        <f t="shared" si="20"/>
        <v>0</v>
      </c>
      <c r="AL88" s="363">
        <f t="shared" si="20"/>
        <v>0</v>
      </c>
      <c r="AM88" s="363">
        <f t="shared" si="20"/>
        <v>0</v>
      </c>
      <c r="AN88" s="363">
        <f t="shared" si="20"/>
        <v>0</v>
      </c>
      <c r="AO88" s="363">
        <f t="shared" si="20"/>
        <v>0</v>
      </c>
      <c r="AP88" s="363">
        <f t="shared" si="20"/>
        <v>0</v>
      </c>
      <c r="AQ88" s="363">
        <f t="shared" si="20"/>
        <v>0</v>
      </c>
      <c r="AR88" s="363">
        <f t="shared" si="20"/>
        <v>0</v>
      </c>
      <c r="AS88" s="363">
        <f t="shared" si="20"/>
        <v>0</v>
      </c>
      <c r="AT88" s="363">
        <f t="shared" si="20"/>
        <v>0</v>
      </c>
      <c r="AU88" s="363">
        <f t="shared" si="20"/>
        <v>0</v>
      </c>
      <c r="AV88" s="363">
        <f t="shared" si="20"/>
        <v>0</v>
      </c>
    </row>
    <row r="89" spans="1:48" x14ac:dyDescent="0.25">
      <c r="A89" s="350" t="s">
        <v>1453</v>
      </c>
      <c r="B89" t="s">
        <v>295</v>
      </c>
      <c r="C89" t="s">
        <v>1530</v>
      </c>
      <c r="D89">
        <f t="shared" si="21"/>
        <v>0</v>
      </c>
      <c r="E89">
        <f t="shared" si="21"/>
        <v>0</v>
      </c>
      <c r="F89">
        <f t="shared" si="21"/>
        <v>0</v>
      </c>
      <c r="G89">
        <f t="shared" si="21"/>
        <v>0</v>
      </c>
      <c r="H89">
        <f t="shared" si="21"/>
        <v>0</v>
      </c>
      <c r="I89">
        <f t="shared" si="21"/>
        <v>0</v>
      </c>
      <c r="J89">
        <f t="shared" si="21"/>
        <v>0</v>
      </c>
      <c r="K89">
        <f t="shared" si="21"/>
        <v>0</v>
      </c>
      <c r="L89">
        <f t="shared" si="21"/>
        <v>0</v>
      </c>
      <c r="M89">
        <f t="shared" si="21"/>
        <v>0</v>
      </c>
      <c r="N89">
        <f t="shared" si="21"/>
        <v>0</v>
      </c>
      <c r="O89" s="363">
        <f t="shared" si="17"/>
        <v>0</v>
      </c>
      <c r="P89" s="363">
        <f t="shared" si="20"/>
        <v>0</v>
      </c>
      <c r="Q89" s="363">
        <f t="shared" si="20"/>
        <v>0</v>
      </c>
      <c r="R89" s="363">
        <f t="shared" si="20"/>
        <v>0</v>
      </c>
      <c r="S89" s="363">
        <f t="shared" si="20"/>
        <v>0</v>
      </c>
      <c r="T89" s="363">
        <f t="shared" si="20"/>
        <v>0</v>
      </c>
      <c r="U89" s="363">
        <f t="shared" si="20"/>
        <v>0</v>
      </c>
      <c r="V89" s="363">
        <f t="shared" si="20"/>
        <v>0</v>
      </c>
      <c r="W89" s="363">
        <f t="shared" si="20"/>
        <v>0</v>
      </c>
      <c r="X89" s="363">
        <f t="shared" si="20"/>
        <v>0</v>
      </c>
      <c r="Y89" s="363">
        <f t="shared" si="20"/>
        <v>0</v>
      </c>
      <c r="Z89" s="363">
        <f t="shared" si="20"/>
        <v>0</v>
      </c>
      <c r="AA89" s="363">
        <f t="shared" si="20"/>
        <v>0</v>
      </c>
      <c r="AB89" s="363">
        <f t="shared" si="20"/>
        <v>0</v>
      </c>
      <c r="AC89" s="363">
        <f t="shared" si="20"/>
        <v>0</v>
      </c>
      <c r="AD89" s="363">
        <f t="shared" si="20"/>
        <v>0</v>
      </c>
      <c r="AE89" s="363">
        <f t="shared" si="20"/>
        <v>0</v>
      </c>
      <c r="AF89" s="363">
        <f t="shared" si="20"/>
        <v>0</v>
      </c>
      <c r="AG89" s="363">
        <f t="shared" si="20"/>
        <v>0</v>
      </c>
      <c r="AH89" s="363">
        <f t="shared" si="20"/>
        <v>0</v>
      </c>
      <c r="AI89" s="363">
        <f t="shared" si="20"/>
        <v>0</v>
      </c>
      <c r="AJ89" s="363">
        <f t="shared" si="20"/>
        <v>0</v>
      </c>
      <c r="AK89" s="363">
        <f t="shared" si="20"/>
        <v>0</v>
      </c>
      <c r="AL89" s="363">
        <f t="shared" si="20"/>
        <v>0</v>
      </c>
      <c r="AM89" s="363">
        <f t="shared" si="20"/>
        <v>0</v>
      </c>
      <c r="AN89" s="363">
        <f t="shared" si="20"/>
        <v>0</v>
      </c>
      <c r="AO89" s="363">
        <f t="shared" si="20"/>
        <v>0</v>
      </c>
      <c r="AP89" s="363">
        <f t="shared" si="20"/>
        <v>0</v>
      </c>
      <c r="AQ89" s="363">
        <f t="shared" si="20"/>
        <v>0</v>
      </c>
      <c r="AR89" s="363">
        <f t="shared" si="20"/>
        <v>0</v>
      </c>
      <c r="AS89" s="363">
        <f t="shared" si="20"/>
        <v>0</v>
      </c>
      <c r="AT89" s="363">
        <f t="shared" si="20"/>
        <v>0</v>
      </c>
      <c r="AU89" s="363">
        <f t="shared" si="20"/>
        <v>0</v>
      </c>
      <c r="AV89" s="363">
        <f t="shared" si="20"/>
        <v>0</v>
      </c>
    </row>
    <row r="90" spans="1:48" x14ac:dyDescent="0.25">
      <c r="A90" s="350" t="s">
        <v>1454</v>
      </c>
      <c r="B90" t="s">
        <v>285</v>
      </c>
      <c r="C90" t="s">
        <v>1530</v>
      </c>
      <c r="D90">
        <f t="shared" si="21"/>
        <v>0</v>
      </c>
      <c r="E90">
        <f t="shared" si="21"/>
        <v>0</v>
      </c>
      <c r="F90">
        <f t="shared" si="21"/>
        <v>0</v>
      </c>
      <c r="G90">
        <f t="shared" si="21"/>
        <v>0</v>
      </c>
      <c r="H90">
        <f t="shared" si="21"/>
        <v>0</v>
      </c>
      <c r="I90">
        <f t="shared" si="21"/>
        <v>0</v>
      </c>
      <c r="J90">
        <f t="shared" si="21"/>
        <v>0</v>
      </c>
      <c r="K90">
        <f t="shared" si="21"/>
        <v>0</v>
      </c>
      <c r="L90">
        <f t="shared" si="21"/>
        <v>0</v>
      </c>
      <c r="M90">
        <f t="shared" si="21"/>
        <v>0</v>
      </c>
      <c r="N90">
        <f t="shared" si="21"/>
        <v>0</v>
      </c>
      <c r="O90" s="363">
        <f t="shared" si="17"/>
        <v>0</v>
      </c>
      <c r="P90" s="363">
        <f t="shared" si="20"/>
        <v>0</v>
      </c>
      <c r="Q90" s="363">
        <f t="shared" si="20"/>
        <v>0</v>
      </c>
      <c r="R90" s="363">
        <f t="shared" si="20"/>
        <v>0</v>
      </c>
      <c r="S90" s="363">
        <f t="shared" si="20"/>
        <v>0</v>
      </c>
      <c r="T90" s="363">
        <f t="shared" si="20"/>
        <v>0</v>
      </c>
      <c r="U90" s="363">
        <f t="shared" si="20"/>
        <v>0</v>
      </c>
      <c r="V90" s="363">
        <f t="shared" si="20"/>
        <v>0</v>
      </c>
      <c r="W90" s="363">
        <f t="shared" si="20"/>
        <v>0</v>
      </c>
      <c r="X90" s="363">
        <f t="shared" si="20"/>
        <v>0</v>
      </c>
      <c r="Y90" s="363">
        <f t="shared" si="20"/>
        <v>0</v>
      </c>
      <c r="Z90" s="363">
        <f t="shared" si="20"/>
        <v>0</v>
      </c>
      <c r="AA90" s="363">
        <f t="shared" si="20"/>
        <v>0</v>
      </c>
      <c r="AB90" s="363">
        <f t="shared" si="20"/>
        <v>0</v>
      </c>
      <c r="AC90" s="363">
        <f t="shared" si="20"/>
        <v>0</v>
      </c>
      <c r="AD90" s="363">
        <f t="shared" si="20"/>
        <v>0</v>
      </c>
      <c r="AE90" s="363">
        <f t="shared" si="20"/>
        <v>0</v>
      </c>
      <c r="AF90" s="363">
        <f t="shared" si="20"/>
        <v>0</v>
      </c>
      <c r="AG90" s="363">
        <f t="shared" si="20"/>
        <v>0</v>
      </c>
      <c r="AH90" s="363">
        <f t="shared" si="20"/>
        <v>0</v>
      </c>
      <c r="AI90" s="363">
        <f t="shared" si="20"/>
        <v>0</v>
      </c>
      <c r="AJ90" s="363">
        <f t="shared" si="20"/>
        <v>0</v>
      </c>
      <c r="AK90" s="363">
        <f t="shared" ref="P90:AV98" si="22">IFERROR(IF($N90-$D90&gt;=0,($N90-$D90)/COUNT($E$1:$N$1)+AJ90,$F444*$E444^AK$1),0)</f>
        <v>0</v>
      </c>
      <c r="AL90" s="363">
        <f t="shared" si="22"/>
        <v>0</v>
      </c>
      <c r="AM90" s="363">
        <f t="shared" si="22"/>
        <v>0</v>
      </c>
      <c r="AN90" s="363">
        <f t="shared" si="22"/>
        <v>0</v>
      </c>
      <c r="AO90" s="363">
        <f t="shared" si="22"/>
        <v>0</v>
      </c>
      <c r="AP90" s="363">
        <f t="shared" si="22"/>
        <v>0</v>
      </c>
      <c r="AQ90" s="363">
        <f t="shared" si="22"/>
        <v>0</v>
      </c>
      <c r="AR90" s="363">
        <f t="shared" si="22"/>
        <v>0</v>
      </c>
      <c r="AS90" s="363">
        <f t="shared" si="22"/>
        <v>0</v>
      </c>
      <c r="AT90" s="363">
        <f t="shared" si="22"/>
        <v>0</v>
      </c>
      <c r="AU90" s="363">
        <f t="shared" si="22"/>
        <v>0</v>
      </c>
      <c r="AV90" s="363">
        <f t="shared" si="22"/>
        <v>0</v>
      </c>
    </row>
    <row r="91" spans="1:48" x14ac:dyDescent="0.25">
      <c r="A91" s="350" t="s">
        <v>1455</v>
      </c>
      <c r="B91" t="s">
        <v>289</v>
      </c>
      <c r="C91" t="s">
        <v>1530</v>
      </c>
      <c r="D91">
        <f t="shared" si="21"/>
        <v>0</v>
      </c>
      <c r="E91">
        <f t="shared" si="21"/>
        <v>0</v>
      </c>
      <c r="F91">
        <f t="shared" si="21"/>
        <v>0</v>
      </c>
      <c r="G91">
        <f t="shared" si="21"/>
        <v>0</v>
      </c>
      <c r="H91">
        <f t="shared" si="21"/>
        <v>0</v>
      </c>
      <c r="I91">
        <f t="shared" si="21"/>
        <v>0</v>
      </c>
      <c r="J91">
        <f t="shared" si="21"/>
        <v>0</v>
      </c>
      <c r="K91">
        <f t="shared" si="21"/>
        <v>0</v>
      </c>
      <c r="L91">
        <f t="shared" si="21"/>
        <v>0</v>
      </c>
      <c r="M91">
        <f t="shared" si="21"/>
        <v>0</v>
      </c>
      <c r="N91">
        <f t="shared" si="21"/>
        <v>0</v>
      </c>
      <c r="O91" s="363">
        <f t="shared" si="17"/>
        <v>0</v>
      </c>
      <c r="P91" s="363">
        <f t="shared" si="22"/>
        <v>0</v>
      </c>
      <c r="Q91" s="363">
        <f t="shared" si="22"/>
        <v>0</v>
      </c>
      <c r="R91" s="363">
        <f t="shared" si="22"/>
        <v>0</v>
      </c>
      <c r="S91" s="363">
        <f t="shared" si="22"/>
        <v>0</v>
      </c>
      <c r="T91" s="363">
        <f t="shared" si="22"/>
        <v>0</v>
      </c>
      <c r="U91" s="363">
        <f t="shared" si="22"/>
        <v>0</v>
      </c>
      <c r="V91" s="363">
        <f t="shared" si="22"/>
        <v>0</v>
      </c>
      <c r="W91" s="363">
        <f t="shared" si="22"/>
        <v>0</v>
      </c>
      <c r="X91" s="363">
        <f t="shared" si="22"/>
        <v>0</v>
      </c>
      <c r="Y91" s="363">
        <f t="shared" si="22"/>
        <v>0</v>
      </c>
      <c r="Z91" s="363">
        <f t="shared" si="22"/>
        <v>0</v>
      </c>
      <c r="AA91" s="363">
        <f t="shared" si="22"/>
        <v>0</v>
      </c>
      <c r="AB91" s="363">
        <f t="shared" si="22"/>
        <v>0</v>
      </c>
      <c r="AC91" s="363">
        <f t="shared" si="22"/>
        <v>0</v>
      </c>
      <c r="AD91" s="363">
        <f t="shared" si="22"/>
        <v>0</v>
      </c>
      <c r="AE91" s="363">
        <f t="shared" si="22"/>
        <v>0</v>
      </c>
      <c r="AF91" s="363">
        <f t="shared" si="22"/>
        <v>0</v>
      </c>
      <c r="AG91" s="363">
        <f t="shared" si="22"/>
        <v>0</v>
      </c>
      <c r="AH91" s="363">
        <f t="shared" si="22"/>
        <v>0</v>
      </c>
      <c r="AI91" s="363">
        <f t="shared" si="22"/>
        <v>0</v>
      </c>
      <c r="AJ91" s="363">
        <f t="shared" si="22"/>
        <v>0</v>
      </c>
      <c r="AK91" s="363">
        <f t="shared" si="22"/>
        <v>0</v>
      </c>
      <c r="AL91" s="363">
        <f t="shared" si="22"/>
        <v>0</v>
      </c>
      <c r="AM91" s="363">
        <f t="shared" si="22"/>
        <v>0</v>
      </c>
      <c r="AN91" s="363">
        <f t="shared" si="22"/>
        <v>0</v>
      </c>
      <c r="AO91" s="363">
        <f t="shared" si="22"/>
        <v>0</v>
      </c>
      <c r="AP91" s="363">
        <f t="shared" si="22"/>
        <v>0</v>
      </c>
      <c r="AQ91" s="363">
        <f t="shared" si="22"/>
        <v>0</v>
      </c>
      <c r="AR91" s="363">
        <f t="shared" si="22"/>
        <v>0</v>
      </c>
      <c r="AS91" s="363">
        <f t="shared" si="22"/>
        <v>0</v>
      </c>
      <c r="AT91" s="363">
        <f t="shared" si="22"/>
        <v>0</v>
      </c>
      <c r="AU91" s="363">
        <f t="shared" si="22"/>
        <v>0</v>
      </c>
      <c r="AV91" s="363">
        <f t="shared" si="22"/>
        <v>0</v>
      </c>
    </row>
    <row r="92" spans="1:48" x14ac:dyDescent="0.25">
      <c r="A92" s="350" t="s">
        <v>1456</v>
      </c>
      <c r="B92" t="s">
        <v>289</v>
      </c>
      <c r="C92" t="s">
        <v>1530</v>
      </c>
      <c r="D92">
        <f t="shared" si="21"/>
        <v>0</v>
      </c>
      <c r="E92">
        <f t="shared" si="21"/>
        <v>0</v>
      </c>
      <c r="F92">
        <f t="shared" si="21"/>
        <v>0</v>
      </c>
      <c r="G92">
        <f t="shared" si="21"/>
        <v>0</v>
      </c>
      <c r="H92">
        <f t="shared" si="21"/>
        <v>0</v>
      </c>
      <c r="I92">
        <f t="shared" si="21"/>
        <v>0</v>
      </c>
      <c r="J92">
        <f t="shared" si="21"/>
        <v>0</v>
      </c>
      <c r="K92">
        <f t="shared" si="21"/>
        <v>0</v>
      </c>
      <c r="L92">
        <f t="shared" si="21"/>
        <v>0</v>
      </c>
      <c r="M92">
        <f t="shared" si="21"/>
        <v>0</v>
      </c>
      <c r="N92">
        <f t="shared" si="21"/>
        <v>0</v>
      </c>
      <c r="O92" s="363">
        <f t="shared" si="17"/>
        <v>0</v>
      </c>
      <c r="P92" s="363">
        <f t="shared" si="22"/>
        <v>0</v>
      </c>
      <c r="Q92" s="363">
        <f t="shared" si="22"/>
        <v>0</v>
      </c>
      <c r="R92" s="363">
        <f t="shared" si="22"/>
        <v>0</v>
      </c>
      <c r="S92" s="363">
        <f t="shared" si="22"/>
        <v>0</v>
      </c>
      <c r="T92" s="363">
        <f t="shared" si="22"/>
        <v>0</v>
      </c>
      <c r="U92" s="363">
        <f t="shared" si="22"/>
        <v>0</v>
      </c>
      <c r="V92" s="363">
        <f t="shared" si="22"/>
        <v>0</v>
      </c>
      <c r="W92" s="363">
        <f t="shared" si="22"/>
        <v>0</v>
      </c>
      <c r="X92" s="363">
        <f t="shared" si="22"/>
        <v>0</v>
      </c>
      <c r="Y92" s="363">
        <f t="shared" si="22"/>
        <v>0</v>
      </c>
      <c r="Z92" s="363">
        <f t="shared" si="22"/>
        <v>0</v>
      </c>
      <c r="AA92" s="363">
        <f t="shared" si="22"/>
        <v>0</v>
      </c>
      <c r="AB92" s="363">
        <f t="shared" si="22"/>
        <v>0</v>
      </c>
      <c r="AC92" s="363">
        <f t="shared" si="22"/>
        <v>0</v>
      </c>
      <c r="AD92" s="363">
        <f t="shared" si="22"/>
        <v>0</v>
      </c>
      <c r="AE92" s="363">
        <f t="shared" si="22"/>
        <v>0</v>
      </c>
      <c r="AF92" s="363">
        <f t="shared" si="22"/>
        <v>0</v>
      </c>
      <c r="AG92" s="363">
        <f t="shared" si="22"/>
        <v>0</v>
      </c>
      <c r="AH92" s="363">
        <f t="shared" si="22"/>
        <v>0</v>
      </c>
      <c r="AI92" s="363">
        <f t="shared" si="22"/>
        <v>0</v>
      </c>
      <c r="AJ92" s="363">
        <f t="shared" si="22"/>
        <v>0</v>
      </c>
      <c r="AK92" s="363">
        <f t="shared" si="22"/>
        <v>0</v>
      </c>
      <c r="AL92" s="363">
        <f t="shared" si="22"/>
        <v>0</v>
      </c>
      <c r="AM92" s="363">
        <f t="shared" si="22"/>
        <v>0</v>
      </c>
      <c r="AN92" s="363">
        <f t="shared" si="22"/>
        <v>0</v>
      </c>
      <c r="AO92" s="363">
        <f t="shared" si="22"/>
        <v>0</v>
      </c>
      <c r="AP92" s="363">
        <f t="shared" si="22"/>
        <v>0</v>
      </c>
      <c r="AQ92" s="363">
        <f t="shared" si="22"/>
        <v>0</v>
      </c>
      <c r="AR92" s="363">
        <f t="shared" si="22"/>
        <v>0</v>
      </c>
      <c r="AS92" s="363">
        <f t="shared" si="22"/>
        <v>0</v>
      </c>
      <c r="AT92" s="363">
        <f t="shared" si="22"/>
        <v>0</v>
      </c>
      <c r="AU92" s="363">
        <f t="shared" si="22"/>
        <v>0</v>
      </c>
      <c r="AV92" s="363">
        <f t="shared" si="22"/>
        <v>0</v>
      </c>
    </row>
    <row r="93" spans="1:48" x14ac:dyDescent="0.25">
      <c r="A93" s="352" t="s">
        <v>1732</v>
      </c>
      <c r="B93" t="s">
        <v>295</v>
      </c>
      <c r="C93" t="s">
        <v>1530</v>
      </c>
      <c r="D93">
        <f t="shared" si="21"/>
        <v>0</v>
      </c>
      <c r="E93">
        <f t="shared" si="21"/>
        <v>0</v>
      </c>
      <c r="F93">
        <f t="shared" si="21"/>
        <v>0</v>
      </c>
      <c r="G93">
        <f t="shared" si="21"/>
        <v>0</v>
      </c>
      <c r="H93">
        <f t="shared" si="21"/>
        <v>0</v>
      </c>
      <c r="I93">
        <f t="shared" si="21"/>
        <v>0</v>
      </c>
      <c r="J93">
        <f t="shared" si="21"/>
        <v>0</v>
      </c>
      <c r="K93">
        <f t="shared" si="21"/>
        <v>0</v>
      </c>
      <c r="L93">
        <f t="shared" si="21"/>
        <v>0</v>
      </c>
      <c r="M93">
        <f t="shared" si="21"/>
        <v>0</v>
      </c>
      <c r="N93">
        <f t="shared" si="21"/>
        <v>0</v>
      </c>
      <c r="O93" s="363">
        <f t="shared" si="17"/>
        <v>0</v>
      </c>
      <c r="P93" s="363">
        <f t="shared" si="22"/>
        <v>0</v>
      </c>
      <c r="Q93" s="363">
        <f t="shared" si="22"/>
        <v>0</v>
      </c>
      <c r="R93" s="363">
        <f t="shared" si="22"/>
        <v>0</v>
      </c>
      <c r="S93" s="363">
        <f t="shared" si="22"/>
        <v>0</v>
      </c>
      <c r="T93" s="363">
        <f t="shared" si="22"/>
        <v>0</v>
      </c>
      <c r="U93" s="363">
        <f t="shared" si="22"/>
        <v>0</v>
      </c>
      <c r="V93" s="363">
        <f t="shared" si="22"/>
        <v>0</v>
      </c>
      <c r="W93" s="363">
        <f t="shared" si="22"/>
        <v>0</v>
      </c>
      <c r="X93" s="363">
        <f t="shared" si="22"/>
        <v>0</v>
      </c>
      <c r="Y93" s="363">
        <f t="shared" si="22"/>
        <v>0</v>
      </c>
      <c r="Z93" s="363">
        <f t="shared" si="22"/>
        <v>0</v>
      </c>
      <c r="AA93" s="363">
        <f t="shared" si="22"/>
        <v>0</v>
      </c>
      <c r="AB93" s="363">
        <f t="shared" si="22"/>
        <v>0</v>
      </c>
      <c r="AC93" s="363">
        <f t="shared" si="22"/>
        <v>0</v>
      </c>
      <c r="AD93" s="363">
        <f t="shared" si="22"/>
        <v>0</v>
      </c>
      <c r="AE93" s="363">
        <f t="shared" si="22"/>
        <v>0</v>
      </c>
      <c r="AF93" s="363">
        <f t="shared" si="22"/>
        <v>0</v>
      </c>
      <c r="AG93" s="363">
        <f t="shared" si="22"/>
        <v>0</v>
      </c>
      <c r="AH93" s="363">
        <f t="shared" si="22"/>
        <v>0</v>
      </c>
      <c r="AI93" s="363">
        <f t="shared" si="22"/>
        <v>0</v>
      </c>
      <c r="AJ93" s="363">
        <f t="shared" si="22"/>
        <v>0</v>
      </c>
      <c r="AK93" s="363">
        <f t="shared" si="22"/>
        <v>0</v>
      </c>
      <c r="AL93" s="363">
        <f t="shared" si="22"/>
        <v>0</v>
      </c>
      <c r="AM93" s="363">
        <f t="shared" si="22"/>
        <v>0</v>
      </c>
      <c r="AN93" s="363">
        <f t="shared" si="22"/>
        <v>0</v>
      </c>
      <c r="AO93" s="363">
        <f t="shared" si="22"/>
        <v>0</v>
      </c>
      <c r="AP93" s="363">
        <f t="shared" si="22"/>
        <v>0</v>
      </c>
      <c r="AQ93" s="363">
        <f t="shared" si="22"/>
        <v>0</v>
      </c>
      <c r="AR93" s="363">
        <f t="shared" si="22"/>
        <v>0</v>
      </c>
      <c r="AS93" s="363">
        <f t="shared" si="22"/>
        <v>0</v>
      </c>
      <c r="AT93" s="363">
        <f t="shared" si="22"/>
        <v>0</v>
      </c>
      <c r="AU93" s="363">
        <f t="shared" si="22"/>
        <v>0</v>
      </c>
      <c r="AV93" s="363">
        <f t="shared" si="22"/>
        <v>0</v>
      </c>
    </row>
    <row r="94" spans="1:48" x14ac:dyDescent="0.25">
      <c r="A94" s="350" t="s">
        <v>1718</v>
      </c>
      <c r="B94" t="s">
        <v>1461</v>
      </c>
      <c r="C94" t="s">
        <v>1530</v>
      </c>
      <c r="D94">
        <f t="shared" si="21"/>
        <v>0</v>
      </c>
      <c r="E94">
        <f t="shared" si="21"/>
        <v>0</v>
      </c>
      <c r="F94">
        <f t="shared" si="21"/>
        <v>0</v>
      </c>
      <c r="G94">
        <f t="shared" si="21"/>
        <v>0</v>
      </c>
      <c r="H94">
        <f t="shared" si="21"/>
        <v>0</v>
      </c>
      <c r="I94">
        <f t="shared" si="21"/>
        <v>0</v>
      </c>
      <c r="J94">
        <f t="shared" si="21"/>
        <v>0</v>
      </c>
      <c r="K94">
        <f t="shared" si="21"/>
        <v>0</v>
      </c>
      <c r="L94">
        <f t="shared" si="21"/>
        <v>0</v>
      </c>
      <c r="M94">
        <f t="shared" si="21"/>
        <v>0</v>
      </c>
      <c r="N94">
        <f t="shared" si="21"/>
        <v>0</v>
      </c>
      <c r="O94" s="363">
        <f t="shared" si="17"/>
        <v>0</v>
      </c>
      <c r="P94" s="363">
        <f t="shared" si="22"/>
        <v>0</v>
      </c>
      <c r="Q94" s="363">
        <f t="shared" si="22"/>
        <v>0</v>
      </c>
      <c r="R94" s="363">
        <f t="shared" si="22"/>
        <v>0</v>
      </c>
      <c r="S94" s="363">
        <f t="shared" si="22"/>
        <v>0</v>
      </c>
      <c r="T94" s="363">
        <f t="shared" si="22"/>
        <v>0</v>
      </c>
      <c r="U94" s="363">
        <f t="shared" si="22"/>
        <v>0</v>
      </c>
      <c r="V94" s="363">
        <f t="shared" si="22"/>
        <v>0</v>
      </c>
      <c r="W94" s="363">
        <f t="shared" si="22"/>
        <v>0</v>
      </c>
      <c r="X94" s="363">
        <f t="shared" si="22"/>
        <v>0</v>
      </c>
      <c r="Y94" s="363">
        <f t="shared" si="22"/>
        <v>0</v>
      </c>
      <c r="Z94" s="363">
        <f t="shared" si="22"/>
        <v>0</v>
      </c>
      <c r="AA94" s="363">
        <f t="shared" si="22"/>
        <v>0</v>
      </c>
      <c r="AB94" s="363">
        <f t="shared" si="22"/>
        <v>0</v>
      </c>
      <c r="AC94" s="363">
        <f t="shared" si="22"/>
        <v>0</v>
      </c>
      <c r="AD94" s="363">
        <f t="shared" si="22"/>
        <v>0</v>
      </c>
      <c r="AE94" s="363">
        <f t="shared" si="22"/>
        <v>0</v>
      </c>
      <c r="AF94" s="363">
        <f t="shared" si="22"/>
        <v>0</v>
      </c>
      <c r="AG94" s="363">
        <f t="shared" si="22"/>
        <v>0</v>
      </c>
      <c r="AH94" s="363">
        <f t="shared" si="22"/>
        <v>0</v>
      </c>
      <c r="AI94" s="363">
        <f t="shared" si="22"/>
        <v>0</v>
      </c>
      <c r="AJ94" s="363">
        <f t="shared" si="22"/>
        <v>0</v>
      </c>
      <c r="AK94" s="363">
        <f t="shared" si="22"/>
        <v>0</v>
      </c>
      <c r="AL94" s="363">
        <f t="shared" si="22"/>
        <v>0</v>
      </c>
      <c r="AM94" s="363">
        <f t="shared" si="22"/>
        <v>0</v>
      </c>
      <c r="AN94" s="363">
        <f t="shared" si="22"/>
        <v>0</v>
      </c>
      <c r="AO94" s="363">
        <f t="shared" si="22"/>
        <v>0</v>
      </c>
      <c r="AP94" s="363">
        <f t="shared" si="22"/>
        <v>0</v>
      </c>
      <c r="AQ94" s="363">
        <f t="shared" si="22"/>
        <v>0</v>
      </c>
      <c r="AR94" s="363">
        <f t="shared" si="22"/>
        <v>0</v>
      </c>
      <c r="AS94" s="363">
        <f t="shared" si="22"/>
        <v>0</v>
      </c>
      <c r="AT94" s="363">
        <f t="shared" si="22"/>
        <v>0</v>
      </c>
      <c r="AU94" s="363">
        <f t="shared" si="22"/>
        <v>0</v>
      </c>
      <c r="AV94" s="363">
        <f t="shared" si="22"/>
        <v>0</v>
      </c>
    </row>
    <row r="95" spans="1:48" x14ac:dyDescent="0.25">
      <c r="A95" s="350" t="s">
        <v>1719</v>
      </c>
      <c r="B95" t="s">
        <v>295</v>
      </c>
      <c r="C95" t="s">
        <v>1530</v>
      </c>
      <c r="D95">
        <f t="shared" si="21"/>
        <v>0</v>
      </c>
      <c r="E95">
        <f t="shared" si="21"/>
        <v>0</v>
      </c>
      <c r="F95">
        <f t="shared" si="21"/>
        <v>0</v>
      </c>
      <c r="G95">
        <f t="shared" si="21"/>
        <v>0</v>
      </c>
      <c r="H95">
        <f t="shared" si="21"/>
        <v>0</v>
      </c>
      <c r="I95">
        <f t="shared" si="21"/>
        <v>0</v>
      </c>
      <c r="J95">
        <f t="shared" si="21"/>
        <v>0</v>
      </c>
      <c r="K95">
        <f t="shared" si="21"/>
        <v>0</v>
      </c>
      <c r="L95">
        <f t="shared" si="21"/>
        <v>0</v>
      </c>
      <c r="M95">
        <f t="shared" si="21"/>
        <v>0</v>
      </c>
      <c r="N95">
        <f t="shared" si="21"/>
        <v>0</v>
      </c>
      <c r="O95" s="363">
        <f t="shared" si="17"/>
        <v>0</v>
      </c>
      <c r="P95" s="363">
        <f t="shared" si="22"/>
        <v>0</v>
      </c>
      <c r="Q95" s="363">
        <f t="shared" si="22"/>
        <v>0</v>
      </c>
      <c r="R95" s="363">
        <f t="shared" si="22"/>
        <v>0</v>
      </c>
      <c r="S95" s="363">
        <f t="shared" si="22"/>
        <v>0</v>
      </c>
      <c r="T95" s="363">
        <f t="shared" si="22"/>
        <v>0</v>
      </c>
      <c r="U95" s="363">
        <f t="shared" si="22"/>
        <v>0</v>
      </c>
      <c r="V95" s="363">
        <f t="shared" si="22"/>
        <v>0</v>
      </c>
      <c r="W95" s="363">
        <f t="shared" si="22"/>
        <v>0</v>
      </c>
      <c r="X95" s="363">
        <f t="shared" si="22"/>
        <v>0</v>
      </c>
      <c r="Y95" s="363">
        <f t="shared" si="22"/>
        <v>0</v>
      </c>
      <c r="Z95" s="363">
        <f t="shared" si="22"/>
        <v>0</v>
      </c>
      <c r="AA95" s="363">
        <f t="shared" si="22"/>
        <v>0</v>
      </c>
      <c r="AB95" s="363">
        <f t="shared" si="22"/>
        <v>0</v>
      </c>
      <c r="AC95" s="363">
        <f t="shared" si="22"/>
        <v>0</v>
      </c>
      <c r="AD95" s="363">
        <f t="shared" si="22"/>
        <v>0</v>
      </c>
      <c r="AE95" s="363">
        <f t="shared" si="22"/>
        <v>0</v>
      </c>
      <c r="AF95" s="363">
        <f t="shared" si="22"/>
        <v>0</v>
      </c>
      <c r="AG95" s="363">
        <f t="shared" si="22"/>
        <v>0</v>
      </c>
      <c r="AH95" s="363">
        <f t="shared" si="22"/>
        <v>0</v>
      </c>
      <c r="AI95" s="363">
        <f t="shared" si="22"/>
        <v>0</v>
      </c>
      <c r="AJ95" s="363">
        <f t="shared" si="22"/>
        <v>0</v>
      </c>
      <c r="AK95" s="363">
        <f t="shared" si="22"/>
        <v>0</v>
      </c>
      <c r="AL95" s="363">
        <f t="shared" si="22"/>
        <v>0</v>
      </c>
      <c r="AM95" s="363">
        <f t="shared" si="22"/>
        <v>0</v>
      </c>
      <c r="AN95" s="363">
        <f t="shared" si="22"/>
        <v>0</v>
      </c>
      <c r="AO95" s="363">
        <f t="shared" si="22"/>
        <v>0</v>
      </c>
      <c r="AP95" s="363">
        <f t="shared" si="22"/>
        <v>0</v>
      </c>
      <c r="AQ95" s="363">
        <f t="shared" si="22"/>
        <v>0</v>
      </c>
      <c r="AR95" s="363">
        <f t="shared" si="22"/>
        <v>0</v>
      </c>
      <c r="AS95" s="363">
        <f t="shared" si="22"/>
        <v>0</v>
      </c>
      <c r="AT95" s="363">
        <f t="shared" si="22"/>
        <v>0</v>
      </c>
      <c r="AU95" s="363">
        <f t="shared" si="22"/>
        <v>0</v>
      </c>
      <c r="AV95" s="363">
        <f t="shared" si="22"/>
        <v>0</v>
      </c>
    </row>
    <row r="96" spans="1:48" s="103" customFormat="1" x14ac:dyDescent="0.25">
      <c r="A96" s="353" t="s">
        <v>1720</v>
      </c>
      <c r="B96" s="103" t="s">
        <v>1734</v>
      </c>
      <c r="C96" s="103" t="s">
        <v>1530</v>
      </c>
      <c r="D96" s="103">
        <f t="shared" si="21"/>
        <v>0</v>
      </c>
      <c r="E96" s="103">
        <f t="shared" si="21"/>
        <v>0</v>
      </c>
      <c r="F96" s="103">
        <f t="shared" si="21"/>
        <v>0</v>
      </c>
      <c r="G96" s="103">
        <f t="shared" si="21"/>
        <v>0</v>
      </c>
      <c r="H96" s="103">
        <f t="shared" si="21"/>
        <v>0</v>
      </c>
      <c r="I96" s="103">
        <f t="shared" si="21"/>
        <v>0</v>
      </c>
      <c r="J96" s="103">
        <f t="shared" si="21"/>
        <v>0</v>
      </c>
      <c r="K96" s="103">
        <f t="shared" si="21"/>
        <v>0</v>
      </c>
      <c r="L96" s="103">
        <f t="shared" si="21"/>
        <v>0</v>
      </c>
      <c r="M96" s="103">
        <f t="shared" si="21"/>
        <v>0</v>
      </c>
      <c r="N96" s="103">
        <f t="shared" si="21"/>
        <v>0</v>
      </c>
      <c r="O96" s="363">
        <f t="shared" si="17"/>
        <v>0</v>
      </c>
      <c r="P96" s="363">
        <f t="shared" si="22"/>
        <v>0</v>
      </c>
      <c r="Q96" s="363">
        <f t="shared" si="22"/>
        <v>0</v>
      </c>
      <c r="R96" s="363">
        <f t="shared" si="22"/>
        <v>0</v>
      </c>
      <c r="S96" s="363">
        <f t="shared" si="22"/>
        <v>0</v>
      </c>
      <c r="T96" s="363">
        <f t="shared" si="22"/>
        <v>0</v>
      </c>
      <c r="U96" s="363">
        <f t="shared" si="22"/>
        <v>0</v>
      </c>
      <c r="V96" s="363">
        <f t="shared" si="22"/>
        <v>0</v>
      </c>
      <c r="W96" s="363">
        <f t="shared" si="22"/>
        <v>0</v>
      </c>
      <c r="X96" s="363">
        <f t="shared" si="22"/>
        <v>0</v>
      </c>
      <c r="Y96" s="363">
        <f t="shared" si="22"/>
        <v>0</v>
      </c>
      <c r="Z96" s="363">
        <f t="shared" si="22"/>
        <v>0</v>
      </c>
      <c r="AA96" s="363">
        <f t="shared" si="22"/>
        <v>0</v>
      </c>
      <c r="AB96" s="363">
        <f t="shared" si="22"/>
        <v>0</v>
      </c>
      <c r="AC96" s="363">
        <f t="shared" si="22"/>
        <v>0</v>
      </c>
      <c r="AD96" s="363">
        <f t="shared" si="22"/>
        <v>0</v>
      </c>
      <c r="AE96" s="363">
        <f t="shared" si="22"/>
        <v>0</v>
      </c>
      <c r="AF96" s="363">
        <f t="shared" si="22"/>
        <v>0</v>
      </c>
      <c r="AG96" s="363">
        <f t="shared" si="22"/>
        <v>0</v>
      </c>
      <c r="AH96" s="363">
        <f t="shared" si="22"/>
        <v>0</v>
      </c>
      <c r="AI96" s="363">
        <f t="shared" si="22"/>
        <v>0</v>
      </c>
      <c r="AJ96" s="363">
        <f t="shared" si="22"/>
        <v>0</v>
      </c>
      <c r="AK96" s="363">
        <f t="shared" si="22"/>
        <v>0</v>
      </c>
      <c r="AL96" s="363">
        <f t="shared" si="22"/>
        <v>0</v>
      </c>
      <c r="AM96" s="363">
        <f t="shared" si="22"/>
        <v>0</v>
      </c>
      <c r="AN96" s="363">
        <f t="shared" si="22"/>
        <v>0</v>
      </c>
      <c r="AO96" s="363">
        <f t="shared" si="22"/>
        <v>0</v>
      </c>
      <c r="AP96" s="363">
        <f t="shared" si="22"/>
        <v>0</v>
      </c>
      <c r="AQ96" s="363">
        <f t="shared" si="22"/>
        <v>0</v>
      </c>
      <c r="AR96" s="363">
        <f t="shared" si="22"/>
        <v>0</v>
      </c>
      <c r="AS96" s="363">
        <f t="shared" si="22"/>
        <v>0</v>
      </c>
      <c r="AT96" s="363">
        <f t="shared" si="22"/>
        <v>0</v>
      </c>
      <c r="AU96" s="363">
        <f t="shared" si="22"/>
        <v>0</v>
      </c>
      <c r="AV96" s="363">
        <f t="shared" si="22"/>
        <v>0</v>
      </c>
    </row>
    <row r="97" spans="1:48" x14ac:dyDescent="0.25">
      <c r="A97" s="350" t="s">
        <v>1721</v>
      </c>
      <c r="B97" t="s">
        <v>295</v>
      </c>
      <c r="C97" t="s">
        <v>1530</v>
      </c>
      <c r="D97">
        <f t="shared" si="21"/>
        <v>0</v>
      </c>
      <c r="E97">
        <f t="shared" si="21"/>
        <v>0</v>
      </c>
      <c r="F97">
        <f t="shared" si="21"/>
        <v>0</v>
      </c>
      <c r="G97">
        <f t="shared" si="21"/>
        <v>0</v>
      </c>
      <c r="H97">
        <f t="shared" si="21"/>
        <v>0</v>
      </c>
      <c r="I97">
        <f t="shared" si="21"/>
        <v>0</v>
      </c>
      <c r="J97">
        <f t="shared" si="21"/>
        <v>0</v>
      </c>
      <c r="K97">
        <f t="shared" si="21"/>
        <v>0</v>
      </c>
      <c r="L97">
        <f t="shared" si="21"/>
        <v>0</v>
      </c>
      <c r="M97">
        <f t="shared" si="21"/>
        <v>0</v>
      </c>
      <c r="N97">
        <f t="shared" si="21"/>
        <v>0</v>
      </c>
      <c r="O97" s="363">
        <f t="shared" si="17"/>
        <v>0</v>
      </c>
      <c r="P97" s="363">
        <f t="shared" si="22"/>
        <v>0</v>
      </c>
      <c r="Q97" s="363">
        <f t="shared" si="22"/>
        <v>0</v>
      </c>
      <c r="R97" s="363">
        <f t="shared" si="22"/>
        <v>0</v>
      </c>
      <c r="S97" s="363">
        <f t="shared" si="22"/>
        <v>0</v>
      </c>
      <c r="T97" s="363">
        <f t="shared" si="22"/>
        <v>0</v>
      </c>
      <c r="U97" s="363">
        <f t="shared" si="22"/>
        <v>0</v>
      </c>
      <c r="V97" s="363">
        <f t="shared" si="22"/>
        <v>0</v>
      </c>
      <c r="W97" s="363">
        <f t="shared" si="22"/>
        <v>0</v>
      </c>
      <c r="X97" s="363">
        <f t="shared" si="22"/>
        <v>0</v>
      </c>
      <c r="Y97" s="363">
        <f t="shared" si="22"/>
        <v>0</v>
      </c>
      <c r="Z97" s="363">
        <f t="shared" si="22"/>
        <v>0</v>
      </c>
      <c r="AA97" s="363">
        <f t="shared" si="22"/>
        <v>0</v>
      </c>
      <c r="AB97" s="363">
        <f t="shared" si="22"/>
        <v>0</v>
      </c>
      <c r="AC97" s="363">
        <f t="shared" si="22"/>
        <v>0</v>
      </c>
      <c r="AD97" s="363">
        <f t="shared" si="22"/>
        <v>0</v>
      </c>
      <c r="AE97" s="363">
        <f t="shared" si="22"/>
        <v>0</v>
      </c>
      <c r="AF97" s="363">
        <f t="shared" si="22"/>
        <v>0</v>
      </c>
      <c r="AG97" s="363">
        <f t="shared" si="22"/>
        <v>0</v>
      </c>
      <c r="AH97" s="363">
        <f t="shared" si="22"/>
        <v>0</v>
      </c>
      <c r="AI97" s="363">
        <f t="shared" si="22"/>
        <v>0</v>
      </c>
      <c r="AJ97" s="363">
        <f t="shared" si="22"/>
        <v>0</v>
      </c>
      <c r="AK97" s="363">
        <f t="shared" si="22"/>
        <v>0</v>
      </c>
      <c r="AL97" s="363">
        <f t="shared" si="22"/>
        <v>0</v>
      </c>
      <c r="AM97" s="363">
        <f t="shared" si="22"/>
        <v>0</v>
      </c>
      <c r="AN97" s="363">
        <f t="shared" si="22"/>
        <v>0</v>
      </c>
      <c r="AO97" s="363">
        <f t="shared" si="22"/>
        <v>0</v>
      </c>
      <c r="AP97" s="363">
        <f t="shared" si="22"/>
        <v>0</v>
      </c>
      <c r="AQ97" s="363">
        <f t="shared" si="22"/>
        <v>0</v>
      </c>
      <c r="AR97" s="363">
        <f t="shared" si="22"/>
        <v>0</v>
      </c>
      <c r="AS97" s="363">
        <f t="shared" si="22"/>
        <v>0</v>
      </c>
      <c r="AT97" s="363">
        <f t="shared" si="22"/>
        <v>0</v>
      </c>
      <c r="AU97" s="363">
        <f t="shared" si="22"/>
        <v>0</v>
      </c>
      <c r="AV97" s="363">
        <f t="shared" si="22"/>
        <v>0</v>
      </c>
    </row>
    <row r="98" spans="1:48" x14ac:dyDescent="0.25">
      <c r="A98" s="350" t="s">
        <v>1723</v>
      </c>
      <c r="B98" t="s">
        <v>295</v>
      </c>
      <c r="C98" t="s">
        <v>1530</v>
      </c>
      <c r="D98">
        <f t="shared" si="21"/>
        <v>0</v>
      </c>
      <c r="E98">
        <f t="shared" si="21"/>
        <v>0</v>
      </c>
      <c r="F98">
        <f t="shared" si="21"/>
        <v>0</v>
      </c>
      <c r="G98">
        <f t="shared" si="21"/>
        <v>0</v>
      </c>
      <c r="H98">
        <f t="shared" si="21"/>
        <v>0</v>
      </c>
      <c r="I98">
        <f t="shared" si="21"/>
        <v>0</v>
      </c>
      <c r="J98">
        <f t="shared" si="21"/>
        <v>0</v>
      </c>
      <c r="K98">
        <f t="shared" si="21"/>
        <v>0</v>
      </c>
      <c r="L98">
        <f t="shared" si="21"/>
        <v>0</v>
      </c>
      <c r="M98">
        <f t="shared" si="21"/>
        <v>0</v>
      </c>
      <c r="N98">
        <f t="shared" si="21"/>
        <v>0</v>
      </c>
      <c r="O98" s="363">
        <f t="shared" si="17"/>
        <v>0</v>
      </c>
      <c r="P98" s="363">
        <f t="shared" si="22"/>
        <v>0</v>
      </c>
      <c r="Q98" s="363">
        <f t="shared" si="22"/>
        <v>0</v>
      </c>
      <c r="R98" s="363">
        <f t="shared" si="22"/>
        <v>0</v>
      </c>
      <c r="S98" s="363">
        <f t="shared" si="22"/>
        <v>0</v>
      </c>
      <c r="T98" s="363">
        <f t="shared" si="22"/>
        <v>0</v>
      </c>
      <c r="U98" s="363">
        <f t="shared" si="22"/>
        <v>0</v>
      </c>
      <c r="V98" s="363">
        <f t="shared" si="22"/>
        <v>0</v>
      </c>
      <c r="W98" s="363">
        <f t="shared" si="22"/>
        <v>0</v>
      </c>
      <c r="X98" s="363">
        <f t="shared" si="22"/>
        <v>0</v>
      </c>
      <c r="Y98" s="363">
        <f t="shared" si="22"/>
        <v>0</v>
      </c>
      <c r="Z98" s="363">
        <f t="shared" si="22"/>
        <v>0</v>
      </c>
      <c r="AA98" s="363">
        <f t="shared" si="22"/>
        <v>0</v>
      </c>
      <c r="AB98" s="363">
        <f t="shared" ref="P98:AV106" si="23">IFERROR(IF($N98-$D98&gt;=0,($N98-$D98)/COUNT($E$1:$N$1)+AA98,$F452*$E452^AB$1),0)</f>
        <v>0</v>
      </c>
      <c r="AC98" s="363">
        <f t="shared" si="23"/>
        <v>0</v>
      </c>
      <c r="AD98" s="363">
        <f t="shared" si="23"/>
        <v>0</v>
      </c>
      <c r="AE98" s="363">
        <f t="shared" si="23"/>
        <v>0</v>
      </c>
      <c r="AF98" s="363">
        <f t="shared" si="23"/>
        <v>0</v>
      </c>
      <c r="AG98" s="363">
        <f t="shared" si="23"/>
        <v>0</v>
      </c>
      <c r="AH98" s="363">
        <f t="shared" si="23"/>
        <v>0</v>
      </c>
      <c r="AI98" s="363">
        <f t="shared" si="23"/>
        <v>0</v>
      </c>
      <c r="AJ98" s="363">
        <f t="shared" si="23"/>
        <v>0</v>
      </c>
      <c r="AK98" s="363">
        <f t="shared" si="23"/>
        <v>0</v>
      </c>
      <c r="AL98" s="363">
        <f t="shared" si="23"/>
        <v>0</v>
      </c>
      <c r="AM98" s="363">
        <f t="shared" si="23"/>
        <v>0</v>
      </c>
      <c r="AN98" s="363">
        <f t="shared" si="23"/>
        <v>0</v>
      </c>
      <c r="AO98" s="363">
        <f t="shared" si="23"/>
        <v>0</v>
      </c>
      <c r="AP98" s="363">
        <f t="shared" si="23"/>
        <v>0</v>
      </c>
      <c r="AQ98" s="363">
        <f t="shared" si="23"/>
        <v>0</v>
      </c>
      <c r="AR98" s="363">
        <f t="shared" si="23"/>
        <v>0</v>
      </c>
      <c r="AS98" s="363">
        <f t="shared" si="23"/>
        <v>0</v>
      </c>
      <c r="AT98" s="363">
        <f t="shared" si="23"/>
        <v>0</v>
      </c>
      <c r="AU98" s="363">
        <f t="shared" si="23"/>
        <v>0</v>
      </c>
      <c r="AV98" s="363">
        <f t="shared" si="23"/>
        <v>0</v>
      </c>
    </row>
    <row r="99" spans="1:48" x14ac:dyDescent="0.25">
      <c r="A99" s="350" t="s">
        <v>1439</v>
      </c>
      <c r="B99" t="s">
        <v>1460</v>
      </c>
      <c r="C99" t="s">
        <v>1531</v>
      </c>
      <c r="D99">
        <f t="shared" ref="D99:N108" si="24">IFERROR(INDEX($B$251:$AB$253,MATCH($A99,$A$251:$A$253,0),MATCH(D$1,$B$176:$AB$176,0)),0)</f>
        <v>0</v>
      </c>
      <c r="E99">
        <f t="shared" si="24"/>
        <v>0</v>
      </c>
      <c r="F99">
        <f t="shared" si="24"/>
        <v>0</v>
      </c>
      <c r="G99">
        <f t="shared" si="24"/>
        <v>0</v>
      </c>
      <c r="H99">
        <f t="shared" si="24"/>
        <v>0</v>
      </c>
      <c r="I99">
        <f t="shared" si="24"/>
        <v>0</v>
      </c>
      <c r="J99">
        <f t="shared" si="24"/>
        <v>0</v>
      </c>
      <c r="K99">
        <f t="shared" si="24"/>
        <v>0</v>
      </c>
      <c r="L99">
        <f t="shared" si="24"/>
        <v>0</v>
      </c>
      <c r="M99">
        <f t="shared" si="24"/>
        <v>0</v>
      </c>
      <c r="N99">
        <f t="shared" si="24"/>
        <v>0</v>
      </c>
      <c r="O99" s="363">
        <f t="shared" si="17"/>
        <v>0</v>
      </c>
      <c r="P99" s="363">
        <f t="shared" si="23"/>
        <v>0</v>
      </c>
      <c r="Q99" s="363">
        <f t="shared" si="23"/>
        <v>0</v>
      </c>
      <c r="R99" s="363">
        <f t="shared" si="23"/>
        <v>0</v>
      </c>
      <c r="S99" s="363">
        <f t="shared" si="23"/>
        <v>0</v>
      </c>
      <c r="T99" s="363">
        <f t="shared" si="23"/>
        <v>0</v>
      </c>
      <c r="U99" s="363">
        <f t="shared" si="23"/>
        <v>0</v>
      </c>
      <c r="V99" s="363">
        <f t="shared" si="23"/>
        <v>0</v>
      </c>
      <c r="W99" s="363">
        <f t="shared" si="23"/>
        <v>0</v>
      </c>
      <c r="X99" s="363">
        <f t="shared" si="23"/>
        <v>0</v>
      </c>
      <c r="Y99" s="363">
        <f t="shared" si="23"/>
        <v>0</v>
      </c>
      <c r="Z99" s="363">
        <f t="shared" si="23"/>
        <v>0</v>
      </c>
      <c r="AA99" s="363">
        <f t="shared" si="23"/>
        <v>0</v>
      </c>
      <c r="AB99" s="363">
        <f t="shared" si="23"/>
        <v>0</v>
      </c>
      <c r="AC99" s="363">
        <f t="shared" si="23"/>
        <v>0</v>
      </c>
      <c r="AD99" s="363">
        <f t="shared" si="23"/>
        <v>0</v>
      </c>
      <c r="AE99" s="363">
        <f t="shared" si="23"/>
        <v>0</v>
      </c>
      <c r="AF99" s="363">
        <f t="shared" si="23"/>
        <v>0</v>
      </c>
      <c r="AG99" s="363">
        <f t="shared" si="23"/>
        <v>0</v>
      </c>
      <c r="AH99" s="363">
        <f t="shared" si="23"/>
        <v>0</v>
      </c>
      <c r="AI99" s="363">
        <f t="shared" si="23"/>
        <v>0</v>
      </c>
      <c r="AJ99" s="363">
        <f t="shared" si="23"/>
        <v>0</v>
      </c>
      <c r="AK99" s="363">
        <f t="shared" si="23"/>
        <v>0</v>
      </c>
      <c r="AL99" s="363">
        <f t="shared" si="23"/>
        <v>0</v>
      </c>
      <c r="AM99" s="363">
        <f t="shared" si="23"/>
        <v>0</v>
      </c>
      <c r="AN99" s="363">
        <f t="shared" si="23"/>
        <v>0</v>
      </c>
      <c r="AO99" s="363">
        <f t="shared" si="23"/>
        <v>0</v>
      </c>
      <c r="AP99" s="363">
        <f t="shared" si="23"/>
        <v>0</v>
      </c>
      <c r="AQ99" s="363">
        <f t="shared" si="23"/>
        <v>0</v>
      </c>
      <c r="AR99" s="363">
        <f t="shared" si="23"/>
        <v>0</v>
      </c>
      <c r="AS99" s="363">
        <f t="shared" si="23"/>
        <v>0</v>
      </c>
      <c r="AT99" s="363">
        <f t="shared" si="23"/>
        <v>0</v>
      </c>
      <c r="AU99" s="363">
        <f t="shared" si="23"/>
        <v>0</v>
      </c>
      <c r="AV99" s="363">
        <f t="shared" si="23"/>
        <v>0</v>
      </c>
    </row>
    <row r="100" spans="1:48" x14ac:dyDescent="0.25">
      <c r="A100" s="350" t="s">
        <v>1440</v>
      </c>
      <c r="B100" t="s">
        <v>229</v>
      </c>
      <c r="C100" t="s">
        <v>1531</v>
      </c>
      <c r="D100">
        <f t="shared" si="24"/>
        <v>0</v>
      </c>
      <c r="E100">
        <f t="shared" si="24"/>
        <v>0</v>
      </c>
      <c r="F100">
        <f t="shared" si="24"/>
        <v>0</v>
      </c>
      <c r="G100">
        <f t="shared" si="24"/>
        <v>0</v>
      </c>
      <c r="H100">
        <f t="shared" si="24"/>
        <v>0</v>
      </c>
      <c r="I100">
        <f t="shared" si="24"/>
        <v>0</v>
      </c>
      <c r="J100">
        <f t="shared" si="24"/>
        <v>0</v>
      </c>
      <c r="K100">
        <f t="shared" si="24"/>
        <v>0</v>
      </c>
      <c r="L100">
        <f t="shared" si="24"/>
        <v>0</v>
      </c>
      <c r="M100">
        <f t="shared" si="24"/>
        <v>0</v>
      </c>
      <c r="N100">
        <f t="shared" si="24"/>
        <v>0</v>
      </c>
      <c r="O100" s="363">
        <f t="shared" si="17"/>
        <v>0</v>
      </c>
      <c r="P100" s="363">
        <f t="shared" si="23"/>
        <v>0</v>
      </c>
      <c r="Q100" s="363">
        <f t="shared" si="23"/>
        <v>0</v>
      </c>
      <c r="R100" s="363">
        <f t="shared" si="23"/>
        <v>0</v>
      </c>
      <c r="S100" s="363">
        <f t="shared" si="23"/>
        <v>0</v>
      </c>
      <c r="T100" s="363">
        <f t="shared" si="23"/>
        <v>0</v>
      </c>
      <c r="U100" s="363">
        <f t="shared" si="23"/>
        <v>0</v>
      </c>
      <c r="V100" s="363">
        <f t="shared" si="23"/>
        <v>0</v>
      </c>
      <c r="W100" s="363">
        <f t="shared" si="23"/>
        <v>0</v>
      </c>
      <c r="X100" s="363">
        <f t="shared" si="23"/>
        <v>0</v>
      </c>
      <c r="Y100" s="363">
        <f t="shared" si="23"/>
        <v>0</v>
      </c>
      <c r="Z100" s="363">
        <f t="shared" si="23"/>
        <v>0</v>
      </c>
      <c r="AA100" s="363">
        <f t="shared" si="23"/>
        <v>0</v>
      </c>
      <c r="AB100" s="363">
        <f t="shared" si="23"/>
        <v>0</v>
      </c>
      <c r="AC100" s="363">
        <f t="shared" si="23"/>
        <v>0</v>
      </c>
      <c r="AD100" s="363">
        <f t="shared" si="23"/>
        <v>0</v>
      </c>
      <c r="AE100" s="363">
        <f t="shared" si="23"/>
        <v>0</v>
      </c>
      <c r="AF100" s="363">
        <f t="shared" si="23"/>
        <v>0</v>
      </c>
      <c r="AG100" s="363">
        <f t="shared" si="23"/>
        <v>0</v>
      </c>
      <c r="AH100" s="363">
        <f t="shared" si="23"/>
        <v>0</v>
      </c>
      <c r="AI100" s="363">
        <f t="shared" si="23"/>
        <v>0</v>
      </c>
      <c r="AJ100" s="363">
        <f t="shared" si="23"/>
        <v>0</v>
      </c>
      <c r="AK100" s="363">
        <f t="shared" si="23"/>
        <v>0</v>
      </c>
      <c r="AL100" s="363">
        <f t="shared" si="23"/>
        <v>0</v>
      </c>
      <c r="AM100" s="363">
        <f t="shared" si="23"/>
        <v>0</v>
      </c>
      <c r="AN100" s="363">
        <f t="shared" si="23"/>
        <v>0</v>
      </c>
      <c r="AO100" s="363">
        <f t="shared" si="23"/>
        <v>0</v>
      </c>
      <c r="AP100" s="363">
        <f t="shared" si="23"/>
        <v>0</v>
      </c>
      <c r="AQ100" s="363">
        <f t="shared" si="23"/>
        <v>0</v>
      </c>
      <c r="AR100" s="363">
        <f t="shared" si="23"/>
        <v>0</v>
      </c>
      <c r="AS100" s="363">
        <f t="shared" si="23"/>
        <v>0</v>
      </c>
      <c r="AT100" s="363">
        <f t="shared" si="23"/>
        <v>0</v>
      </c>
      <c r="AU100" s="363">
        <f t="shared" si="23"/>
        <v>0</v>
      </c>
      <c r="AV100" s="363">
        <f t="shared" si="23"/>
        <v>0</v>
      </c>
    </row>
    <row r="101" spans="1:48" x14ac:dyDescent="0.25">
      <c r="A101" s="351" t="s">
        <v>1725</v>
      </c>
      <c r="B101" t="s">
        <v>295</v>
      </c>
      <c r="C101" t="s">
        <v>1531</v>
      </c>
      <c r="D101">
        <f t="shared" si="24"/>
        <v>0</v>
      </c>
      <c r="E101">
        <f t="shared" si="24"/>
        <v>0</v>
      </c>
      <c r="F101">
        <f t="shared" si="24"/>
        <v>0</v>
      </c>
      <c r="G101">
        <f t="shared" si="24"/>
        <v>0</v>
      </c>
      <c r="H101">
        <f t="shared" si="24"/>
        <v>0</v>
      </c>
      <c r="I101">
        <f t="shared" si="24"/>
        <v>0</v>
      </c>
      <c r="J101">
        <f t="shared" si="24"/>
        <v>0</v>
      </c>
      <c r="K101">
        <f t="shared" si="24"/>
        <v>0</v>
      </c>
      <c r="L101">
        <f t="shared" si="24"/>
        <v>0</v>
      </c>
      <c r="M101">
        <f t="shared" si="24"/>
        <v>0</v>
      </c>
      <c r="N101">
        <f t="shared" si="24"/>
        <v>0</v>
      </c>
      <c r="O101" s="363">
        <f t="shared" si="17"/>
        <v>0</v>
      </c>
      <c r="P101" s="363">
        <f t="shared" si="23"/>
        <v>0</v>
      </c>
      <c r="Q101" s="363">
        <f t="shared" si="23"/>
        <v>0</v>
      </c>
      <c r="R101" s="363">
        <f t="shared" si="23"/>
        <v>0</v>
      </c>
      <c r="S101" s="363">
        <f t="shared" si="23"/>
        <v>0</v>
      </c>
      <c r="T101" s="363">
        <f t="shared" si="23"/>
        <v>0</v>
      </c>
      <c r="U101" s="363">
        <f t="shared" si="23"/>
        <v>0</v>
      </c>
      <c r="V101" s="363">
        <f t="shared" si="23"/>
        <v>0</v>
      </c>
      <c r="W101" s="363">
        <f t="shared" si="23"/>
        <v>0</v>
      </c>
      <c r="X101" s="363">
        <f t="shared" si="23"/>
        <v>0</v>
      </c>
      <c r="Y101" s="363">
        <f t="shared" si="23"/>
        <v>0</v>
      </c>
      <c r="Z101" s="363">
        <f t="shared" si="23"/>
        <v>0</v>
      </c>
      <c r="AA101" s="363">
        <f t="shared" si="23"/>
        <v>0</v>
      </c>
      <c r="AB101" s="363">
        <f t="shared" si="23"/>
        <v>0</v>
      </c>
      <c r="AC101" s="363">
        <f t="shared" si="23"/>
        <v>0</v>
      </c>
      <c r="AD101" s="363">
        <f t="shared" si="23"/>
        <v>0</v>
      </c>
      <c r="AE101" s="363">
        <f t="shared" si="23"/>
        <v>0</v>
      </c>
      <c r="AF101" s="363">
        <f t="shared" si="23"/>
        <v>0</v>
      </c>
      <c r="AG101" s="363">
        <f t="shared" si="23"/>
        <v>0</v>
      </c>
      <c r="AH101" s="363">
        <f t="shared" si="23"/>
        <v>0</v>
      </c>
      <c r="AI101" s="363">
        <f t="shared" si="23"/>
        <v>0</v>
      </c>
      <c r="AJ101" s="363">
        <f t="shared" si="23"/>
        <v>0</v>
      </c>
      <c r="AK101" s="363">
        <f t="shared" si="23"/>
        <v>0</v>
      </c>
      <c r="AL101" s="363">
        <f t="shared" si="23"/>
        <v>0</v>
      </c>
      <c r="AM101" s="363">
        <f t="shared" si="23"/>
        <v>0</v>
      </c>
      <c r="AN101" s="363">
        <f t="shared" si="23"/>
        <v>0</v>
      </c>
      <c r="AO101" s="363">
        <f t="shared" si="23"/>
        <v>0</v>
      </c>
      <c r="AP101" s="363">
        <f t="shared" si="23"/>
        <v>0</v>
      </c>
      <c r="AQ101" s="363">
        <f t="shared" si="23"/>
        <v>0</v>
      </c>
      <c r="AR101" s="363">
        <f t="shared" si="23"/>
        <v>0</v>
      </c>
      <c r="AS101" s="363">
        <f t="shared" si="23"/>
        <v>0</v>
      </c>
      <c r="AT101" s="363">
        <f t="shared" si="23"/>
        <v>0</v>
      </c>
      <c r="AU101" s="363">
        <f t="shared" si="23"/>
        <v>0</v>
      </c>
      <c r="AV101" s="363">
        <f t="shared" si="23"/>
        <v>0</v>
      </c>
    </row>
    <row r="102" spans="1:48" x14ac:dyDescent="0.25">
      <c r="A102" s="350" t="s">
        <v>1722</v>
      </c>
      <c r="B102" t="s">
        <v>295</v>
      </c>
      <c r="C102" t="s">
        <v>1531</v>
      </c>
      <c r="D102">
        <f t="shared" si="24"/>
        <v>0</v>
      </c>
      <c r="E102">
        <f t="shared" si="24"/>
        <v>0</v>
      </c>
      <c r="F102">
        <f t="shared" si="24"/>
        <v>0</v>
      </c>
      <c r="G102">
        <f t="shared" si="24"/>
        <v>0</v>
      </c>
      <c r="H102">
        <f t="shared" si="24"/>
        <v>0</v>
      </c>
      <c r="I102">
        <f t="shared" si="24"/>
        <v>0</v>
      </c>
      <c r="J102">
        <f t="shared" si="24"/>
        <v>0</v>
      </c>
      <c r="K102">
        <f t="shared" si="24"/>
        <v>0</v>
      </c>
      <c r="L102">
        <f t="shared" si="24"/>
        <v>0</v>
      </c>
      <c r="M102">
        <f t="shared" si="24"/>
        <v>0</v>
      </c>
      <c r="N102">
        <f t="shared" si="24"/>
        <v>0</v>
      </c>
      <c r="O102" s="363">
        <f t="shared" si="17"/>
        <v>0</v>
      </c>
      <c r="P102" s="363">
        <f t="shared" si="23"/>
        <v>0</v>
      </c>
      <c r="Q102" s="363">
        <f t="shared" si="23"/>
        <v>0</v>
      </c>
      <c r="R102" s="363">
        <f t="shared" si="23"/>
        <v>0</v>
      </c>
      <c r="S102" s="363">
        <f t="shared" si="23"/>
        <v>0</v>
      </c>
      <c r="T102" s="363">
        <f t="shared" si="23"/>
        <v>0</v>
      </c>
      <c r="U102" s="363">
        <f t="shared" si="23"/>
        <v>0</v>
      </c>
      <c r="V102" s="363">
        <f t="shared" si="23"/>
        <v>0</v>
      </c>
      <c r="W102" s="363">
        <f t="shared" si="23"/>
        <v>0</v>
      </c>
      <c r="X102" s="363">
        <f t="shared" si="23"/>
        <v>0</v>
      </c>
      <c r="Y102" s="363">
        <f t="shared" si="23"/>
        <v>0</v>
      </c>
      <c r="Z102" s="363">
        <f t="shared" si="23"/>
        <v>0</v>
      </c>
      <c r="AA102" s="363">
        <f t="shared" si="23"/>
        <v>0</v>
      </c>
      <c r="AB102" s="363">
        <f t="shared" si="23"/>
        <v>0</v>
      </c>
      <c r="AC102" s="363">
        <f t="shared" si="23"/>
        <v>0</v>
      </c>
      <c r="AD102" s="363">
        <f t="shared" si="23"/>
        <v>0</v>
      </c>
      <c r="AE102" s="363">
        <f t="shared" si="23"/>
        <v>0</v>
      </c>
      <c r="AF102" s="363">
        <f t="shared" si="23"/>
        <v>0</v>
      </c>
      <c r="AG102" s="363">
        <f t="shared" si="23"/>
        <v>0</v>
      </c>
      <c r="AH102" s="363">
        <f t="shared" si="23"/>
        <v>0</v>
      </c>
      <c r="AI102" s="363">
        <f t="shared" si="23"/>
        <v>0</v>
      </c>
      <c r="AJ102" s="363">
        <f t="shared" si="23"/>
        <v>0</v>
      </c>
      <c r="AK102" s="363">
        <f t="shared" si="23"/>
        <v>0</v>
      </c>
      <c r="AL102" s="363">
        <f t="shared" si="23"/>
        <v>0</v>
      </c>
      <c r="AM102" s="363">
        <f t="shared" si="23"/>
        <v>0</v>
      </c>
      <c r="AN102" s="363">
        <f t="shared" si="23"/>
        <v>0</v>
      </c>
      <c r="AO102" s="363">
        <f t="shared" si="23"/>
        <v>0</v>
      </c>
      <c r="AP102" s="363">
        <f t="shared" si="23"/>
        <v>0</v>
      </c>
      <c r="AQ102" s="363">
        <f t="shared" si="23"/>
        <v>0</v>
      </c>
      <c r="AR102" s="363">
        <f t="shared" si="23"/>
        <v>0</v>
      </c>
      <c r="AS102" s="363">
        <f t="shared" si="23"/>
        <v>0</v>
      </c>
      <c r="AT102" s="363">
        <f t="shared" si="23"/>
        <v>0</v>
      </c>
      <c r="AU102" s="363">
        <f t="shared" si="23"/>
        <v>0</v>
      </c>
      <c r="AV102" s="363">
        <f t="shared" si="23"/>
        <v>0</v>
      </c>
    </row>
    <row r="103" spans="1:48" x14ac:dyDescent="0.25">
      <c r="A103" s="350" t="s">
        <v>1443</v>
      </c>
      <c r="B103" t="s">
        <v>1461</v>
      </c>
      <c r="C103" t="s">
        <v>1531</v>
      </c>
      <c r="D103">
        <f t="shared" si="24"/>
        <v>0</v>
      </c>
      <c r="E103">
        <f t="shared" si="24"/>
        <v>0</v>
      </c>
      <c r="F103">
        <f t="shared" si="24"/>
        <v>0</v>
      </c>
      <c r="G103">
        <f t="shared" si="24"/>
        <v>0</v>
      </c>
      <c r="H103">
        <f t="shared" si="24"/>
        <v>0</v>
      </c>
      <c r="I103">
        <f t="shared" si="24"/>
        <v>0</v>
      </c>
      <c r="J103">
        <f t="shared" si="24"/>
        <v>0</v>
      </c>
      <c r="K103">
        <f t="shared" si="24"/>
        <v>0</v>
      </c>
      <c r="L103">
        <f t="shared" si="24"/>
        <v>0</v>
      </c>
      <c r="M103">
        <f t="shared" si="24"/>
        <v>0</v>
      </c>
      <c r="N103">
        <f t="shared" si="24"/>
        <v>0</v>
      </c>
      <c r="O103" s="363">
        <f t="shared" si="17"/>
        <v>0</v>
      </c>
      <c r="P103" s="363">
        <f t="shared" si="23"/>
        <v>0</v>
      </c>
      <c r="Q103" s="363">
        <f t="shared" si="23"/>
        <v>0</v>
      </c>
      <c r="R103" s="363">
        <f t="shared" si="23"/>
        <v>0</v>
      </c>
      <c r="S103" s="363">
        <f t="shared" si="23"/>
        <v>0</v>
      </c>
      <c r="T103" s="363">
        <f t="shared" si="23"/>
        <v>0</v>
      </c>
      <c r="U103" s="363">
        <f t="shared" si="23"/>
        <v>0</v>
      </c>
      <c r="V103" s="363">
        <f t="shared" si="23"/>
        <v>0</v>
      </c>
      <c r="W103" s="363">
        <f t="shared" si="23"/>
        <v>0</v>
      </c>
      <c r="X103" s="363">
        <f t="shared" si="23"/>
        <v>0</v>
      </c>
      <c r="Y103" s="363">
        <f t="shared" si="23"/>
        <v>0</v>
      </c>
      <c r="Z103" s="363">
        <f t="shared" si="23"/>
        <v>0</v>
      </c>
      <c r="AA103" s="363">
        <f t="shared" si="23"/>
        <v>0</v>
      </c>
      <c r="AB103" s="363">
        <f t="shared" si="23"/>
        <v>0</v>
      </c>
      <c r="AC103" s="363">
        <f t="shared" si="23"/>
        <v>0</v>
      </c>
      <c r="AD103" s="363">
        <f t="shared" si="23"/>
        <v>0</v>
      </c>
      <c r="AE103" s="363">
        <f t="shared" si="23"/>
        <v>0</v>
      </c>
      <c r="AF103" s="363">
        <f t="shared" si="23"/>
        <v>0</v>
      </c>
      <c r="AG103" s="363">
        <f t="shared" si="23"/>
        <v>0</v>
      </c>
      <c r="AH103" s="363">
        <f t="shared" si="23"/>
        <v>0</v>
      </c>
      <c r="AI103" s="363">
        <f t="shared" si="23"/>
        <v>0</v>
      </c>
      <c r="AJ103" s="363">
        <f t="shared" si="23"/>
        <v>0</v>
      </c>
      <c r="AK103" s="363">
        <f t="shared" si="23"/>
        <v>0</v>
      </c>
      <c r="AL103" s="363">
        <f t="shared" si="23"/>
        <v>0</v>
      </c>
      <c r="AM103" s="363">
        <f t="shared" si="23"/>
        <v>0</v>
      </c>
      <c r="AN103" s="363">
        <f t="shared" si="23"/>
        <v>0</v>
      </c>
      <c r="AO103" s="363">
        <f t="shared" si="23"/>
        <v>0</v>
      </c>
      <c r="AP103" s="363">
        <f t="shared" si="23"/>
        <v>0</v>
      </c>
      <c r="AQ103" s="363">
        <f t="shared" si="23"/>
        <v>0</v>
      </c>
      <c r="AR103" s="363">
        <f t="shared" si="23"/>
        <v>0</v>
      </c>
      <c r="AS103" s="363">
        <f t="shared" si="23"/>
        <v>0</v>
      </c>
      <c r="AT103" s="363">
        <f t="shared" si="23"/>
        <v>0</v>
      </c>
      <c r="AU103" s="363">
        <f t="shared" si="23"/>
        <v>0</v>
      </c>
      <c r="AV103" s="363">
        <f t="shared" si="23"/>
        <v>0</v>
      </c>
    </row>
    <row r="104" spans="1:48" x14ac:dyDescent="0.25">
      <c r="A104" s="350" t="s">
        <v>1444</v>
      </c>
      <c r="B104" t="s">
        <v>1461</v>
      </c>
      <c r="C104" t="s">
        <v>1531</v>
      </c>
      <c r="D104">
        <f t="shared" si="24"/>
        <v>0</v>
      </c>
      <c r="E104">
        <f t="shared" si="24"/>
        <v>0</v>
      </c>
      <c r="F104">
        <f t="shared" si="24"/>
        <v>0</v>
      </c>
      <c r="G104">
        <f t="shared" si="24"/>
        <v>0</v>
      </c>
      <c r="H104">
        <f t="shared" si="24"/>
        <v>0</v>
      </c>
      <c r="I104">
        <f t="shared" si="24"/>
        <v>0</v>
      </c>
      <c r="J104">
        <f t="shared" si="24"/>
        <v>0</v>
      </c>
      <c r="K104">
        <f t="shared" si="24"/>
        <v>0</v>
      </c>
      <c r="L104">
        <f t="shared" si="24"/>
        <v>0</v>
      </c>
      <c r="M104">
        <f t="shared" si="24"/>
        <v>0</v>
      </c>
      <c r="N104">
        <f t="shared" si="24"/>
        <v>0</v>
      </c>
      <c r="O104" s="363">
        <f t="shared" si="17"/>
        <v>0</v>
      </c>
      <c r="P104" s="363">
        <f t="shared" si="23"/>
        <v>0</v>
      </c>
      <c r="Q104" s="363">
        <f t="shared" si="23"/>
        <v>0</v>
      </c>
      <c r="R104" s="363">
        <f t="shared" si="23"/>
        <v>0</v>
      </c>
      <c r="S104" s="363">
        <f t="shared" si="23"/>
        <v>0</v>
      </c>
      <c r="T104" s="363">
        <f t="shared" si="23"/>
        <v>0</v>
      </c>
      <c r="U104" s="363">
        <f t="shared" si="23"/>
        <v>0</v>
      </c>
      <c r="V104" s="363">
        <f t="shared" si="23"/>
        <v>0</v>
      </c>
      <c r="W104" s="363">
        <f t="shared" si="23"/>
        <v>0</v>
      </c>
      <c r="X104" s="363">
        <f t="shared" si="23"/>
        <v>0</v>
      </c>
      <c r="Y104" s="363">
        <f t="shared" si="23"/>
        <v>0</v>
      </c>
      <c r="Z104" s="363">
        <f t="shared" si="23"/>
        <v>0</v>
      </c>
      <c r="AA104" s="363">
        <f t="shared" si="23"/>
        <v>0</v>
      </c>
      <c r="AB104" s="363">
        <f t="shared" si="23"/>
        <v>0</v>
      </c>
      <c r="AC104" s="363">
        <f t="shared" si="23"/>
        <v>0</v>
      </c>
      <c r="AD104" s="363">
        <f t="shared" si="23"/>
        <v>0</v>
      </c>
      <c r="AE104" s="363">
        <f t="shared" si="23"/>
        <v>0</v>
      </c>
      <c r="AF104" s="363">
        <f t="shared" si="23"/>
        <v>0</v>
      </c>
      <c r="AG104" s="363">
        <f t="shared" si="23"/>
        <v>0</v>
      </c>
      <c r="AH104" s="363">
        <f t="shared" si="23"/>
        <v>0</v>
      </c>
      <c r="AI104" s="363">
        <f t="shared" si="23"/>
        <v>0</v>
      </c>
      <c r="AJ104" s="363">
        <f t="shared" si="23"/>
        <v>0</v>
      </c>
      <c r="AK104" s="363">
        <f t="shared" si="23"/>
        <v>0</v>
      </c>
      <c r="AL104" s="363">
        <f t="shared" si="23"/>
        <v>0</v>
      </c>
      <c r="AM104" s="363">
        <f t="shared" si="23"/>
        <v>0</v>
      </c>
      <c r="AN104" s="363">
        <f t="shared" si="23"/>
        <v>0</v>
      </c>
      <c r="AO104" s="363">
        <f t="shared" si="23"/>
        <v>0</v>
      </c>
      <c r="AP104" s="363">
        <f t="shared" si="23"/>
        <v>0</v>
      </c>
      <c r="AQ104" s="363">
        <f t="shared" si="23"/>
        <v>0</v>
      </c>
      <c r="AR104" s="363">
        <f t="shared" si="23"/>
        <v>0</v>
      </c>
      <c r="AS104" s="363">
        <f t="shared" si="23"/>
        <v>0</v>
      </c>
      <c r="AT104" s="363">
        <f t="shared" si="23"/>
        <v>0</v>
      </c>
      <c r="AU104" s="363">
        <f t="shared" si="23"/>
        <v>0</v>
      </c>
      <c r="AV104" s="363">
        <f t="shared" si="23"/>
        <v>0</v>
      </c>
    </row>
    <row r="105" spans="1:48" x14ac:dyDescent="0.25">
      <c r="A105" s="350" t="s">
        <v>1445</v>
      </c>
      <c r="B105" t="s">
        <v>229</v>
      </c>
      <c r="C105" t="s">
        <v>1531</v>
      </c>
      <c r="D105">
        <f t="shared" si="24"/>
        <v>0</v>
      </c>
      <c r="E105">
        <f t="shared" si="24"/>
        <v>0</v>
      </c>
      <c r="F105">
        <f t="shared" si="24"/>
        <v>0</v>
      </c>
      <c r="G105">
        <f t="shared" si="24"/>
        <v>0</v>
      </c>
      <c r="H105">
        <f t="shared" si="24"/>
        <v>0</v>
      </c>
      <c r="I105">
        <f t="shared" si="24"/>
        <v>0</v>
      </c>
      <c r="J105">
        <f t="shared" si="24"/>
        <v>0</v>
      </c>
      <c r="K105">
        <f t="shared" si="24"/>
        <v>0</v>
      </c>
      <c r="L105">
        <f t="shared" si="24"/>
        <v>0</v>
      </c>
      <c r="M105">
        <f t="shared" si="24"/>
        <v>0</v>
      </c>
      <c r="N105">
        <f t="shared" si="24"/>
        <v>0</v>
      </c>
      <c r="O105" s="363">
        <f t="shared" si="17"/>
        <v>0</v>
      </c>
      <c r="P105" s="363">
        <f t="shared" si="23"/>
        <v>0</v>
      </c>
      <c r="Q105" s="363">
        <f t="shared" si="23"/>
        <v>0</v>
      </c>
      <c r="R105" s="363">
        <f t="shared" si="23"/>
        <v>0</v>
      </c>
      <c r="S105" s="363">
        <f t="shared" si="23"/>
        <v>0</v>
      </c>
      <c r="T105" s="363">
        <f t="shared" si="23"/>
        <v>0</v>
      </c>
      <c r="U105" s="363">
        <f t="shared" si="23"/>
        <v>0</v>
      </c>
      <c r="V105" s="363">
        <f t="shared" si="23"/>
        <v>0</v>
      </c>
      <c r="W105" s="363">
        <f t="shared" si="23"/>
        <v>0</v>
      </c>
      <c r="X105" s="363">
        <f t="shared" si="23"/>
        <v>0</v>
      </c>
      <c r="Y105" s="363">
        <f t="shared" si="23"/>
        <v>0</v>
      </c>
      <c r="Z105" s="363">
        <f t="shared" si="23"/>
        <v>0</v>
      </c>
      <c r="AA105" s="363">
        <f t="shared" si="23"/>
        <v>0</v>
      </c>
      <c r="AB105" s="363">
        <f t="shared" si="23"/>
        <v>0</v>
      </c>
      <c r="AC105" s="363">
        <f t="shared" si="23"/>
        <v>0</v>
      </c>
      <c r="AD105" s="363">
        <f t="shared" si="23"/>
        <v>0</v>
      </c>
      <c r="AE105" s="363">
        <f t="shared" si="23"/>
        <v>0</v>
      </c>
      <c r="AF105" s="363">
        <f t="shared" si="23"/>
        <v>0</v>
      </c>
      <c r="AG105" s="363">
        <f t="shared" si="23"/>
        <v>0</v>
      </c>
      <c r="AH105" s="363">
        <f t="shared" si="23"/>
        <v>0</v>
      </c>
      <c r="AI105" s="363">
        <f t="shared" si="23"/>
        <v>0</v>
      </c>
      <c r="AJ105" s="363">
        <f t="shared" si="23"/>
        <v>0</v>
      </c>
      <c r="AK105" s="363">
        <f t="shared" si="23"/>
        <v>0</v>
      </c>
      <c r="AL105" s="363">
        <f t="shared" si="23"/>
        <v>0</v>
      </c>
      <c r="AM105" s="363">
        <f t="shared" si="23"/>
        <v>0</v>
      </c>
      <c r="AN105" s="363">
        <f t="shared" si="23"/>
        <v>0</v>
      </c>
      <c r="AO105" s="363">
        <f t="shared" si="23"/>
        <v>0</v>
      </c>
      <c r="AP105" s="363">
        <f t="shared" si="23"/>
        <v>0</v>
      </c>
      <c r="AQ105" s="363">
        <f t="shared" si="23"/>
        <v>0</v>
      </c>
      <c r="AR105" s="363">
        <f t="shared" si="23"/>
        <v>0</v>
      </c>
      <c r="AS105" s="363">
        <f t="shared" si="23"/>
        <v>0</v>
      </c>
      <c r="AT105" s="363">
        <f t="shared" si="23"/>
        <v>0</v>
      </c>
      <c r="AU105" s="363">
        <f t="shared" si="23"/>
        <v>0</v>
      </c>
      <c r="AV105" s="363">
        <f t="shared" si="23"/>
        <v>0</v>
      </c>
    </row>
    <row r="106" spans="1:48" x14ac:dyDescent="0.25">
      <c r="A106" s="351" t="s">
        <v>1724</v>
      </c>
      <c r="B106" t="s">
        <v>295</v>
      </c>
      <c r="C106" t="s">
        <v>1531</v>
      </c>
      <c r="D106">
        <f t="shared" si="24"/>
        <v>0</v>
      </c>
      <c r="E106">
        <f t="shared" si="24"/>
        <v>0</v>
      </c>
      <c r="F106">
        <f t="shared" si="24"/>
        <v>0</v>
      </c>
      <c r="G106">
        <f t="shared" si="24"/>
        <v>0</v>
      </c>
      <c r="H106">
        <f t="shared" si="24"/>
        <v>0</v>
      </c>
      <c r="I106">
        <f t="shared" si="24"/>
        <v>0</v>
      </c>
      <c r="J106">
        <f t="shared" si="24"/>
        <v>0</v>
      </c>
      <c r="K106">
        <f t="shared" si="24"/>
        <v>0</v>
      </c>
      <c r="L106">
        <f t="shared" si="24"/>
        <v>0</v>
      </c>
      <c r="M106">
        <f t="shared" si="24"/>
        <v>0</v>
      </c>
      <c r="N106">
        <f t="shared" si="24"/>
        <v>0</v>
      </c>
      <c r="O106" s="363">
        <f t="shared" si="17"/>
        <v>0</v>
      </c>
      <c r="P106" s="363">
        <f t="shared" si="23"/>
        <v>0</v>
      </c>
      <c r="Q106" s="363">
        <f t="shared" si="23"/>
        <v>0</v>
      </c>
      <c r="R106" s="363">
        <f t="shared" si="23"/>
        <v>0</v>
      </c>
      <c r="S106" s="363">
        <f t="shared" ref="P106:AV113" si="25">IFERROR(IF($N106-$D106&gt;=0,($N106-$D106)/COUNT($E$1:$N$1)+R106,$F460*$E460^S$1),0)</f>
        <v>0</v>
      </c>
      <c r="T106" s="363">
        <f t="shared" si="25"/>
        <v>0</v>
      </c>
      <c r="U106" s="363">
        <f t="shared" si="25"/>
        <v>0</v>
      </c>
      <c r="V106" s="363">
        <f t="shared" si="25"/>
        <v>0</v>
      </c>
      <c r="W106" s="363">
        <f t="shared" si="25"/>
        <v>0</v>
      </c>
      <c r="X106" s="363">
        <f t="shared" si="25"/>
        <v>0</v>
      </c>
      <c r="Y106" s="363">
        <f t="shared" si="25"/>
        <v>0</v>
      </c>
      <c r="Z106" s="363">
        <f t="shared" si="25"/>
        <v>0</v>
      </c>
      <c r="AA106" s="363">
        <f t="shared" si="25"/>
        <v>0</v>
      </c>
      <c r="AB106" s="363">
        <f t="shared" si="25"/>
        <v>0</v>
      </c>
      <c r="AC106" s="363">
        <f t="shared" si="25"/>
        <v>0</v>
      </c>
      <c r="AD106" s="363">
        <f t="shared" si="25"/>
        <v>0</v>
      </c>
      <c r="AE106" s="363">
        <f t="shared" si="25"/>
        <v>0</v>
      </c>
      <c r="AF106" s="363">
        <f t="shared" si="25"/>
        <v>0</v>
      </c>
      <c r="AG106" s="363">
        <f t="shared" si="25"/>
        <v>0</v>
      </c>
      <c r="AH106" s="363">
        <f t="shared" si="25"/>
        <v>0</v>
      </c>
      <c r="AI106" s="363">
        <f t="shared" si="25"/>
        <v>0</v>
      </c>
      <c r="AJ106" s="363">
        <f t="shared" si="25"/>
        <v>0</v>
      </c>
      <c r="AK106" s="363">
        <f t="shared" si="25"/>
        <v>0</v>
      </c>
      <c r="AL106" s="363">
        <f t="shared" si="25"/>
        <v>0</v>
      </c>
      <c r="AM106" s="363">
        <f t="shared" si="25"/>
        <v>0</v>
      </c>
      <c r="AN106" s="363">
        <f t="shared" si="25"/>
        <v>0</v>
      </c>
      <c r="AO106" s="363">
        <f t="shared" si="25"/>
        <v>0</v>
      </c>
      <c r="AP106" s="363">
        <f t="shared" si="25"/>
        <v>0</v>
      </c>
      <c r="AQ106" s="363">
        <f t="shared" si="25"/>
        <v>0</v>
      </c>
      <c r="AR106" s="363">
        <f t="shared" si="25"/>
        <v>0</v>
      </c>
      <c r="AS106" s="363">
        <f t="shared" si="25"/>
        <v>0</v>
      </c>
      <c r="AT106" s="363">
        <f t="shared" si="25"/>
        <v>0</v>
      </c>
      <c r="AU106" s="363">
        <f t="shared" si="25"/>
        <v>0</v>
      </c>
      <c r="AV106" s="363">
        <f t="shared" si="25"/>
        <v>0</v>
      </c>
    </row>
    <row r="107" spans="1:48" x14ac:dyDescent="0.25">
      <c r="A107" s="350" t="s">
        <v>1447</v>
      </c>
      <c r="B107" t="s">
        <v>229</v>
      </c>
      <c r="C107" t="s">
        <v>1531</v>
      </c>
      <c r="D107">
        <f t="shared" si="24"/>
        <v>0</v>
      </c>
      <c r="E107">
        <f t="shared" si="24"/>
        <v>0</v>
      </c>
      <c r="F107">
        <f t="shared" si="24"/>
        <v>0</v>
      </c>
      <c r="G107">
        <f t="shared" si="24"/>
        <v>0</v>
      </c>
      <c r="H107">
        <f t="shared" si="24"/>
        <v>0</v>
      </c>
      <c r="I107">
        <f t="shared" si="24"/>
        <v>0</v>
      </c>
      <c r="J107">
        <f t="shared" si="24"/>
        <v>0</v>
      </c>
      <c r="K107">
        <f t="shared" si="24"/>
        <v>0</v>
      </c>
      <c r="L107">
        <f t="shared" si="24"/>
        <v>0</v>
      </c>
      <c r="M107">
        <f t="shared" si="24"/>
        <v>0</v>
      </c>
      <c r="N107">
        <f t="shared" si="24"/>
        <v>0</v>
      </c>
      <c r="O107" s="363">
        <f t="shared" si="17"/>
        <v>0</v>
      </c>
      <c r="P107" s="363">
        <f t="shared" si="25"/>
        <v>0</v>
      </c>
      <c r="Q107" s="363">
        <f t="shared" si="25"/>
        <v>0</v>
      </c>
      <c r="R107" s="363">
        <f t="shared" si="25"/>
        <v>0</v>
      </c>
      <c r="S107" s="363">
        <f t="shared" si="25"/>
        <v>0</v>
      </c>
      <c r="T107" s="363">
        <f t="shared" si="25"/>
        <v>0</v>
      </c>
      <c r="U107" s="363">
        <f t="shared" si="25"/>
        <v>0</v>
      </c>
      <c r="V107" s="363">
        <f t="shared" si="25"/>
        <v>0</v>
      </c>
      <c r="W107" s="363">
        <f t="shared" si="25"/>
        <v>0</v>
      </c>
      <c r="X107" s="363">
        <f t="shared" si="25"/>
        <v>0</v>
      </c>
      <c r="Y107" s="363">
        <f t="shared" si="25"/>
        <v>0</v>
      </c>
      <c r="Z107" s="363">
        <f t="shared" si="25"/>
        <v>0</v>
      </c>
      <c r="AA107" s="363">
        <f t="shared" si="25"/>
        <v>0</v>
      </c>
      <c r="AB107" s="363">
        <f t="shared" si="25"/>
        <v>0</v>
      </c>
      <c r="AC107" s="363">
        <f t="shared" si="25"/>
        <v>0</v>
      </c>
      <c r="AD107" s="363">
        <f t="shared" si="25"/>
        <v>0</v>
      </c>
      <c r="AE107" s="363">
        <f t="shared" si="25"/>
        <v>0</v>
      </c>
      <c r="AF107" s="363">
        <f t="shared" si="25"/>
        <v>0</v>
      </c>
      <c r="AG107" s="363">
        <f t="shared" si="25"/>
        <v>0</v>
      </c>
      <c r="AH107" s="363">
        <f t="shared" si="25"/>
        <v>0</v>
      </c>
      <c r="AI107" s="363">
        <f t="shared" si="25"/>
        <v>0</v>
      </c>
      <c r="AJ107" s="363">
        <f t="shared" si="25"/>
        <v>0</v>
      </c>
      <c r="AK107" s="363">
        <f t="shared" si="25"/>
        <v>0</v>
      </c>
      <c r="AL107" s="363">
        <f t="shared" si="25"/>
        <v>0</v>
      </c>
      <c r="AM107" s="363">
        <f t="shared" si="25"/>
        <v>0</v>
      </c>
      <c r="AN107" s="363">
        <f t="shared" si="25"/>
        <v>0</v>
      </c>
      <c r="AO107" s="363">
        <f t="shared" si="25"/>
        <v>0</v>
      </c>
      <c r="AP107" s="363">
        <f t="shared" si="25"/>
        <v>0</v>
      </c>
      <c r="AQ107" s="363">
        <f t="shared" si="25"/>
        <v>0</v>
      </c>
      <c r="AR107" s="363">
        <f t="shared" si="25"/>
        <v>0</v>
      </c>
      <c r="AS107" s="363">
        <f t="shared" si="25"/>
        <v>0</v>
      </c>
      <c r="AT107" s="363">
        <f t="shared" si="25"/>
        <v>0</v>
      </c>
      <c r="AU107" s="363">
        <f t="shared" si="25"/>
        <v>0</v>
      </c>
      <c r="AV107" s="363">
        <f t="shared" si="25"/>
        <v>0</v>
      </c>
    </row>
    <row r="108" spans="1:48" x14ac:dyDescent="0.25">
      <c r="A108" s="350" t="s">
        <v>1448</v>
      </c>
      <c r="B108" t="s">
        <v>228</v>
      </c>
      <c r="C108" t="s">
        <v>1531</v>
      </c>
      <c r="D108">
        <f t="shared" si="24"/>
        <v>0</v>
      </c>
      <c r="E108">
        <f t="shared" si="24"/>
        <v>0</v>
      </c>
      <c r="F108">
        <f t="shared" si="24"/>
        <v>0</v>
      </c>
      <c r="G108">
        <f t="shared" si="24"/>
        <v>0</v>
      </c>
      <c r="H108">
        <f t="shared" si="24"/>
        <v>0</v>
      </c>
      <c r="I108">
        <f t="shared" si="24"/>
        <v>0</v>
      </c>
      <c r="J108">
        <f t="shared" si="24"/>
        <v>0</v>
      </c>
      <c r="K108">
        <f t="shared" si="24"/>
        <v>0</v>
      </c>
      <c r="L108">
        <f t="shared" si="24"/>
        <v>0</v>
      </c>
      <c r="M108">
        <f t="shared" si="24"/>
        <v>0</v>
      </c>
      <c r="N108">
        <f t="shared" si="24"/>
        <v>0</v>
      </c>
      <c r="O108" s="363">
        <f t="shared" si="17"/>
        <v>0</v>
      </c>
      <c r="P108" s="363">
        <f t="shared" si="25"/>
        <v>0</v>
      </c>
      <c r="Q108" s="363">
        <f t="shared" si="25"/>
        <v>0</v>
      </c>
      <c r="R108" s="363">
        <f t="shared" si="25"/>
        <v>0</v>
      </c>
      <c r="S108" s="363">
        <f t="shared" si="25"/>
        <v>0</v>
      </c>
      <c r="T108" s="363">
        <f t="shared" si="25"/>
        <v>0</v>
      </c>
      <c r="U108" s="363">
        <f t="shared" si="25"/>
        <v>0</v>
      </c>
      <c r="V108" s="363">
        <f t="shared" si="25"/>
        <v>0</v>
      </c>
      <c r="W108" s="363">
        <f t="shared" si="25"/>
        <v>0</v>
      </c>
      <c r="X108" s="363">
        <f t="shared" si="25"/>
        <v>0</v>
      </c>
      <c r="Y108" s="363">
        <f t="shared" si="25"/>
        <v>0</v>
      </c>
      <c r="Z108" s="363">
        <f t="shared" si="25"/>
        <v>0</v>
      </c>
      <c r="AA108" s="363">
        <f t="shared" si="25"/>
        <v>0</v>
      </c>
      <c r="AB108" s="363">
        <f t="shared" si="25"/>
        <v>0</v>
      </c>
      <c r="AC108" s="363">
        <f t="shared" si="25"/>
        <v>0</v>
      </c>
      <c r="AD108" s="363">
        <f t="shared" si="25"/>
        <v>0</v>
      </c>
      <c r="AE108" s="363">
        <f t="shared" si="25"/>
        <v>0</v>
      </c>
      <c r="AF108" s="363">
        <f t="shared" si="25"/>
        <v>0</v>
      </c>
      <c r="AG108" s="363">
        <f t="shared" si="25"/>
        <v>0</v>
      </c>
      <c r="AH108" s="363">
        <f t="shared" si="25"/>
        <v>0</v>
      </c>
      <c r="AI108" s="363">
        <f t="shared" si="25"/>
        <v>0</v>
      </c>
      <c r="AJ108" s="363">
        <f t="shared" si="25"/>
        <v>0</v>
      </c>
      <c r="AK108" s="363">
        <f t="shared" si="25"/>
        <v>0</v>
      </c>
      <c r="AL108" s="363">
        <f t="shared" si="25"/>
        <v>0</v>
      </c>
      <c r="AM108" s="363">
        <f t="shared" si="25"/>
        <v>0</v>
      </c>
      <c r="AN108" s="363">
        <f t="shared" si="25"/>
        <v>0</v>
      </c>
      <c r="AO108" s="363">
        <f t="shared" si="25"/>
        <v>0</v>
      </c>
      <c r="AP108" s="363">
        <f t="shared" si="25"/>
        <v>0</v>
      </c>
      <c r="AQ108" s="363">
        <f t="shared" si="25"/>
        <v>0</v>
      </c>
      <c r="AR108" s="363">
        <f t="shared" si="25"/>
        <v>0</v>
      </c>
      <c r="AS108" s="363">
        <f t="shared" si="25"/>
        <v>0</v>
      </c>
      <c r="AT108" s="363">
        <f t="shared" si="25"/>
        <v>0</v>
      </c>
      <c r="AU108" s="363">
        <f t="shared" si="25"/>
        <v>0</v>
      </c>
      <c r="AV108" s="363">
        <f t="shared" si="25"/>
        <v>0</v>
      </c>
    </row>
    <row r="109" spans="1:48" x14ac:dyDescent="0.25">
      <c r="A109" s="350" t="s">
        <v>1449</v>
      </c>
      <c r="B109" t="s">
        <v>295</v>
      </c>
      <c r="C109" t="s">
        <v>1531</v>
      </c>
      <c r="D109">
        <f t="shared" ref="D109:N122" si="26">IFERROR(INDEX($B$251:$AB$253,MATCH($A109,$A$251:$A$253,0),MATCH(D$1,$B$176:$AB$176,0)),0)</f>
        <v>0</v>
      </c>
      <c r="E109">
        <f t="shared" si="26"/>
        <v>0</v>
      </c>
      <c r="F109">
        <f t="shared" si="26"/>
        <v>0</v>
      </c>
      <c r="G109">
        <f t="shared" si="26"/>
        <v>0</v>
      </c>
      <c r="H109">
        <f t="shared" si="26"/>
        <v>0</v>
      </c>
      <c r="I109">
        <f t="shared" si="26"/>
        <v>0</v>
      </c>
      <c r="J109">
        <f t="shared" si="26"/>
        <v>0</v>
      </c>
      <c r="K109">
        <f t="shared" si="26"/>
        <v>0</v>
      </c>
      <c r="L109">
        <f t="shared" si="26"/>
        <v>0</v>
      </c>
      <c r="M109">
        <f t="shared" si="26"/>
        <v>0</v>
      </c>
      <c r="N109">
        <f t="shared" si="26"/>
        <v>0</v>
      </c>
      <c r="O109" s="363">
        <f t="shared" si="17"/>
        <v>0</v>
      </c>
      <c r="P109" s="363">
        <f t="shared" si="25"/>
        <v>0</v>
      </c>
      <c r="Q109" s="363">
        <f t="shared" si="25"/>
        <v>0</v>
      </c>
      <c r="R109" s="363">
        <f t="shared" si="25"/>
        <v>0</v>
      </c>
      <c r="S109" s="363">
        <f t="shared" si="25"/>
        <v>0</v>
      </c>
      <c r="T109" s="363">
        <f t="shared" si="25"/>
        <v>0</v>
      </c>
      <c r="U109" s="363">
        <f t="shared" si="25"/>
        <v>0</v>
      </c>
      <c r="V109" s="363">
        <f t="shared" si="25"/>
        <v>0</v>
      </c>
      <c r="W109" s="363">
        <f t="shared" si="25"/>
        <v>0</v>
      </c>
      <c r="X109" s="363">
        <f t="shared" si="25"/>
        <v>0</v>
      </c>
      <c r="Y109" s="363">
        <f t="shared" si="25"/>
        <v>0</v>
      </c>
      <c r="Z109" s="363">
        <f t="shared" si="25"/>
        <v>0</v>
      </c>
      <c r="AA109" s="363">
        <f t="shared" si="25"/>
        <v>0</v>
      </c>
      <c r="AB109" s="363">
        <f t="shared" si="25"/>
        <v>0</v>
      </c>
      <c r="AC109" s="363">
        <f t="shared" si="25"/>
        <v>0</v>
      </c>
      <c r="AD109" s="363">
        <f t="shared" si="25"/>
        <v>0</v>
      </c>
      <c r="AE109" s="363">
        <f t="shared" si="25"/>
        <v>0</v>
      </c>
      <c r="AF109" s="363">
        <f t="shared" si="25"/>
        <v>0</v>
      </c>
      <c r="AG109" s="363">
        <f t="shared" si="25"/>
        <v>0</v>
      </c>
      <c r="AH109" s="363">
        <f t="shared" si="25"/>
        <v>0</v>
      </c>
      <c r="AI109" s="363">
        <f t="shared" si="25"/>
        <v>0</v>
      </c>
      <c r="AJ109" s="363">
        <f t="shared" si="25"/>
        <v>0</v>
      </c>
      <c r="AK109" s="363">
        <f t="shared" si="25"/>
        <v>0</v>
      </c>
      <c r="AL109" s="363">
        <f t="shared" si="25"/>
        <v>0</v>
      </c>
      <c r="AM109" s="363">
        <f t="shared" si="25"/>
        <v>0</v>
      </c>
      <c r="AN109" s="363">
        <f t="shared" si="25"/>
        <v>0</v>
      </c>
      <c r="AO109" s="363">
        <f t="shared" si="25"/>
        <v>0</v>
      </c>
      <c r="AP109" s="363">
        <f t="shared" si="25"/>
        <v>0</v>
      </c>
      <c r="AQ109" s="363">
        <f t="shared" si="25"/>
        <v>0</v>
      </c>
      <c r="AR109" s="363">
        <f t="shared" si="25"/>
        <v>0</v>
      </c>
      <c r="AS109" s="363">
        <f t="shared" si="25"/>
        <v>0</v>
      </c>
      <c r="AT109" s="363">
        <f t="shared" si="25"/>
        <v>0</v>
      </c>
      <c r="AU109" s="363">
        <f t="shared" si="25"/>
        <v>0</v>
      </c>
      <c r="AV109" s="363">
        <f t="shared" si="25"/>
        <v>0</v>
      </c>
    </row>
    <row r="110" spans="1:48" x14ac:dyDescent="0.25">
      <c r="A110" s="350" t="s">
        <v>1450</v>
      </c>
      <c r="B110" t="s">
        <v>295</v>
      </c>
      <c r="C110" t="s">
        <v>1531</v>
      </c>
      <c r="D110">
        <f t="shared" si="26"/>
        <v>0</v>
      </c>
      <c r="E110">
        <f t="shared" si="26"/>
        <v>0</v>
      </c>
      <c r="F110">
        <f t="shared" si="26"/>
        <v>0</v>
      </c>
      <c r="G110">
        <f t="shared" si="26"/>
        <v>0</v>
      </c>
      <c r="H110">
        <f t="shared" si="26"/>
        <v>0</v>
      </c>
      <c r="I110">
        <f t="shared" si="26"/>
        <v>0</v>
      </c>
      <c r="J110">
        <f t="shared" si="26"/>
        <v>0</v>
      </c>
      <c r="K110">
        <f t="shared" si="26"/>
        <v>0</v>
      </c>
      <c r="L110">
        <f t="shared" si="26"/>
        <v>0</v>
      </c>
      <c r="M110">
        <f t="shared" si="26"/>
        <v>0</v>
      </c>
      <c r="N110">
        <f t="shared" si="26"/>
        <v>0</v>
      </c>
      <c r="O110" s="363">
        <f t="shared" si="17"/>
        <v>0</v>
      </c>
      <c r="P110" s="363">
        <f t="shared" si="25"/>
        <v>0</v>
      </c>
      <c r="Q110" s="363">
        <f t="shared" si="25"/>
        <v>0</v>
      </c>
      <c r="R110" s="363">
        <f t="shared" si="25"/>
        <v>0</v>
      </c>
      <c r="S110" s="363">
        <f t="shared" si="25"/>
        <v>0</v>
      </c>
      <c r="T110" s="363">
        <f t="shared" si="25"/>
        <v>0</v>
      </c>
      <c r="U110" s="363">
        <f t="shared" si="25"/>
        <v>0</v>
      </c>
      <c r="V110" s="363">
        <f t="shared" si="25"/>
        <v>0</v>
      </c>
      <c r="W110" s="363">
        <f t="shared" si="25"/>
        <v>0</v>
      </c>
      <c r="X110" s="363">
        <f t="shared" si="25"/>
        <v>0</v>
      </c>
      <c r="Y110" s="363">
        <f t="shared" si="25"/>
        <v>0</v>
      </c>
      <c r="Z110" s="363">
        <f t="shared" si="25"/>
        <v>0</v>
      </c>
      <c r="AA110" s="363">
        <f t="shared" si="25"/>
        <v>0</v>
      </c>
      <c r="AB110" s="363">
        <f t="shared" si="25"/>
        <v>0</v>
      </c>
      <c r="AC110" s="363">
        <f t="shared" si="25"/>
        <v>0</v>
      </c>
      <c r="AD110" s="363">
        <f t="shared" si="25"/>
        <v>0</v>
      </c>
      <c r="AE110" s="363">
        <f t="shared" si="25"/>
        <v>0</v>
      </c>
      <c r="AF110" s="363">
        <f t="shared" si="25"/>
        <v>0</v>
      </c>
      <c r="AG110" s="363">
        <f t="shared" si="25"/>
        <v>0</v>
      </c>
      <c r="AH110" s="363">
        <f t="shared" si="25"/>
        <v>0</v>
      </c>
      <c r="AI110" s="363">
        <f t="shared" si="25"/>
        <v>0</v>
      </c>
      <c r="AJ110" s="363">
        <f t="shared" si="25"/>
        <v>0</v>
      </c>
      <c r="AK110" s="363">
        <f t="shared" si="25"/>
        <v>0</v>
      </c>
      <c r="AL110" s="363">
        <f t="shared" si="25"/>
        <v>0</v>
      </c>
      <c r="AM110" s="363">
        <f t="shared" si="25"/>
        <v>0</v>
      </c>
      <c r="AN110" s="363">
        <f t="shared" si="25"/>
        <v>0</v>
      </c>
      <c r="AO110" s="363">
        <f t="shared" si="25"/>
        <v>0</v>
      </c>
      <c r="AP110" s="363">
        <f t="shared" si="25"/>
        <v>0</v>
      </c>
      <c r="AQ110" s="363">
        <f t="shared" si="25"/>
        <v>0</v>
      </c>
      <c r="AR110" s="363">
        <f t="shared" si="25"/>
        <v>0</v>
      </c>
      <c r="AS110" s="363">
        <f t="shared" si="25"/>
        <v>0</v>
      </c>
      <c r="AT110" s="363">
        <f t="shared" si="25"/>
        <v>0</v>
      </c>
      <c r="AU110" s="363">
        <f t="shared" si="25"/>
        <v>0</v>
      </c>
      <c r="AV110" s="363">
        <f t="shared" si="25"/>
        <v>0</v>
      </c>
    </row>
    <row r="111" spans="1:48" x14ac:dyDescent="0.25">
      <c r="A111" s="350" t="s">
        <v>1451</v>
      </c>
      <c r="B111" t="s">
        <v>295</v>
      </c>
      <c r="C111" t="s">
        <v>1531</v>
      </c>
      <c r="D111">
        <f t="shared" si="26"/>
        <v>0</v>
      </c>
      <c r="E111">
        <f t="shared" si="26"/>
        <v>0</v>
      </c>
      <c r="F111">
        <f t="shared" si="26"/>
        <v>0</v>
      </c>
      <c r="G111">
        <f t="shared" si="26"/>
        <v>0</v>
      </c>
      <c r="H111">
        <f t="shared" si="26"/>
        <v>0</v>
      </c>
      <c r="I111">
        <f t="shared" si="26"/>
        <v>0</v>
      </c>
      <c r="J111">
        <f t="shared" si="26"/>
        <v>0</v>
      </c>
      <c r="K111">
        <f t="shared" si="26"/>
        <v>0</v>
      </c>
      <c r="L111">
        <f t="shared" si="26"/>
        <v>0</v>
      </c>
      <c r="M111">
        <f t="shared" si="26"/>
        <v>0</v>
      </c>
      <c r="N111">
        <f t="shared" si="26"/>
        <v>0</v>
      </c>
      <c r="O111" s="363">
        <f t="shared" si="17"/>
        <v>0</v>
      </c>
      <c r="P111" s="363">
        <f t="shared" si="25"/>
        <v>0</v>
      </c>
      <c r="Q111" s="363">
        <f t="shared" si="25"/>
        <v>0</v>
      </c>
      <c r="R111" s="363">
        <f t="shared" si="25"/>
        <v>0</v>
      </c>
      <c r="S111" s="363">
        <f t="shared" si="25"/>
        <v>0</v>
      </c>
      <c r="T111" s="363">
        <f t="shared" si="25"/>
        <v>0</v>
      </c>
      <c r="U111" s="363">
        <f t="shared" si="25"/>
        <v>0</v>
      </c>
      <c r="V111" s="363">
        <f t="shared" si="25"/>
        <v>0</v>
      </c>
      <c r="W111" s="363">
        <f t="shared" si="25"/>
        <v>0</v>
      </c>
      <c r="X111" s="363">
        <f t="shared" si="25"/>
        <v>0</v>
      </c>
      <c r="Y111" s="363">
        <f t="shared" si="25"/>
        <v>0</v>
      </c>
      <c r="Z111" s="363">
        <f t="shared" si="25"/>
        <v>0</v>
      </c>
      <c r="AA111" s="363">
        <f t="shared" si="25"/>
        <v>0</v>
      </c>
      <c r="AB111" s="363">
        <f t="shared" si="25"/>
        <v>0</v>
      </c>
      <c r="AC111" s="363">
        <f t="shared" si="25"/>
        <v>0</v>
      </c>
      <c r="AD111" s="363">
        <f t="shared" si="25"/>
        <v>0</v>
      </c>
      <c r="AE111" s="363">
        <f t="shared" si="25"/>
        <v>0</v>
      </c>
      <c r="AF111" s="363">
        <f t="shared" si="25"/>
        <v>0</v>
      </c>
      <c r="AG111" s="363">
        <f t="shared" si="25"/>
        <v>0</v>
      </c>
      <c r="AH111" s="363">
        <f t="shared" si="25"/>
        <v>0</v>
      </c>
      <c r="AI111" s="363">
        <f t="shared" si="25"/>
        <v>0</v>
      </c>
      <c r="AJ111" s="363">
        <f t="shared" si="25"/>
        <v>0</v>
      </c>
      <c r="AK111" s="363">
        <f t="shared" si="25"/>
        <v>0</v>
      </c>
      <c r="AL111" s="363">
        <f t="shared" si="25"/>
        <v>0</v>
      </c>
      <c r="AM111" s="363">
        <f t="shared" si="25"/>
        <v>0</v>
      </c>
      <c r="AN111" s="363">
        <f t="shared" si="25"/>
        <v>0</v>
      </c>
      <c r="AO111" s="363">
        <f t="shared" si="25"/>
        <v>0</v>
      </c>
      <c r="AP111" s="363">
        <f t="shared" si="25"/>
        <v>0</v>
      </c>
      <c r="AQ111" s="363">
        <f t="shared" si="25"/>
        <v>0</v>
      </c>
      <c r="AR111" s="363">
        <f t="shared" si="25"/>
        <v>0</v>
      </c>
      <c r="AS111" s="363">
        <f t="shared" si="25"/>
        <v>0</v>
      </c>
      <c r="AT111" s="363">
        <f t="shared" si="25"/>
        <v>0</v>
      </c>
      <c r="AU111" s="363">
        <f t="shared" si="25"/>
        <v>0</v>
      </c>
      <c r="AV111" s="363">
        <f t="shared" si="25"/>
        <v>0</v>
      </c>
    </row>
    <row r="112" spans="1:48" x14ac:dyDescent="0.25">
      <c r="A112" s="350" t="s">
        <v>1452</v>
      </c>
      <c r="B112" t="s">
        <v>229</v>
      </c>
      <c r="C112" t="s">
        <v>1531</v>
      </c>
      <c r="D112">
        <f t="shared" si="26"/>
        <v>0</v>
      </c>
      <c r="E112">
        <f t="shared" si="26"/>
        <v>0</v>
      </c>
      <c r="F112">
        <f t="shared" si="26"/>
        <v>0</v>
      </c>
      <c r="G112">
        <f t="shared" si="26"/>
        <v>0</v>
      </c>
      <c r="H112">
        <f t="shared" si="26"/>
        <v>0</v>
      </c>
      <c r="I112">
        <f t="shared" si="26"/>
        <v>0</v>
      </c>
      <c r="J112">
        <f t="shared" si="26"/>
        <v>0</v>
      </c>
      <c r="K112">
        <f t="shared" si="26"/>
        <v>0</v>
      </c>
      <c r="L112">
        <f t="shared" si="26"/>
        <v>0</v>
      </c>
      <c r="M112">
        <f t="shared" si="26"/>
        <v>0</v>
      </c>
      <c r="N112">
        <f t="shared" si="26"/>
        <v>0</v>
      </c>
      <c r="O112" s="363">
        <f t="shared" si="17"/>
        <v>0</v>
      </c>
      <c r="P112" s="363">
        <f t="shared" si="25"/>
        <v>0</v>
      </c>
      <c r="Q112" s="363">
        <f t="shared" si="25"/>
        <v>0</v>
      </c>
      <c r="R112" s="363">
        <f t="shared" si="25"/>
        <v>0</v>
      </c>
      <c r="S112" s="363">
        <f t="shared" si="25"/>
        <v>0</v>
      </c>
      <c r="T112" s="363">
        <f t="shared" si="25"/>
        <v>0</v>
      </c>
      <c r="U112" s="363">
        <f t="shared" si="25"/>
        <v>0</v>
      </c>
      <c r="V112" s="363">
        <f t="shared" si="25"/>
        <v>0</v>
      </c>
      <c r="W112" s="363">
        <f t="shared" si="25"/>
        <v>0</v>
      </c>
      <c r="X112" s="363">
        <f t="shared" si="25"/>
        <v>0</v>
      </c>
      <c r="Y112" s="363">
        <f t="shared" si="25"/>
        <v>0</v>
      </c>
      <c r="Z112" s="363">
        <f t="shared" si="25"/>
        <v>0</v>
      </c>
      <c r="AA112" s="363">
        <f t="shared" si="25"/>
        <v>0</v>
      </c>
      <c r="AB112" s="363">
        <f t="shared" si="25"/>
        <v>0</v>
      </c>
      <c r="AC112" s="363">
        <f t="shared" si="25"/>
        <v>0</v>
      </c>
      <c r="AD112" s="363">
        <f t="shared" si="25"/>
        <v>0</v>
      </c>
      <c r="AE112" s="363">
        <f t="shared" si="25"/>
        <v>0</v>
      </c>
      <c r="AF112" s="363">
        <f t="shared" si="25"/>
        <v>0</v>
      </c>
      <c r="AG112" s="363">
        <f t="shared" si="25"/>
        <v>0</v>
      </c>
      <c r="AH112" s="363">
        <f t="shared" si="25"/>
        <v>0</v>
      </c>
      <c r="AI112" s="363">
        <f t="shared" si="25"/>
        <v>0</v>
      </c>
      <c r="AJ112" s="363">
        <f t="shared" si="25"/>
        <v>0</v>
      </c>
      <c r="AK112" s="363">
        <f t="shared" si="25"/>
        <v>0</v>
      </c>
      <c r="AL112" s="363">
        <f t="shared" si="25"/>
        <v>0</v>
      </c>
      <c r="AM112" s="363">
        <f t="shared" si="25"/>
        <v>0</v>
      </c>
      <c r="AN112" s="363">
        <f t="shared" si="25"/>
        <v>0</v>
      </c>
      <c r="AO112" s="363">
        <f t="shared" si="25"/>
        <v>0</v>
      </c>
      <c r="AP112" s="363">
        <f t="shared" si="25"/>
        <v>0</v>
      </c>
      <c r="AQ112" s="363">
        <f t="shared" si="25"/>
        <v>0</v>
      </c>
      <c r="AR112" s="363">
        <f t="shared" si="25"/>
        <v>0</v>
      </c>
      <c r="AS112" s="363">
        <f t="shared" si="25"/>
        <v>0</v>
      </c>
      <c r="AT112" s="363">
        <f t="shared" si="25"/>
        <v>0</v>
      </c>
      <c r="AU112" s="363">
        <f t="shared" si="25"/>
        <v>0</v>
      </c>
      <c r="AV112" s="363">
        <f t="shared" si="25"/>
        <v>0</v>
      </c>
    </row>
    <row r="113" spans="1:48" x14ac:dyDescent="0.25">
      <c r="A113" s="350" t="s">
        <v>1453</v>
      </c>
      <c r="B113" t="s">
        <v>295</v>
      </c>
      <c r="C113" t="s">
        <v>1531</v>
      </c>
      <c r="D113">
        <f t="shared" si="26"/>
        <v>0</v>
      </c>
      <c r="E113">
        <f t="shared" si="26"/>
        <v>0</v>
      </c>
      <c r="F113">
        <f t="shared" si="26"/>
        <v>0</v>
      </c>
      <c r="G113">
        <f t="shared" si="26"/>
        <v>0</v>
      </c>
      <c r="H113">
        <f t="shared" si="26"/>
        <v>0</v>
      </c>
      <c r="I113">
        <f t="shared" si="26"/>
        <v>0</v>
      </c>
      <c r="J113">
        <f t="shared" si="26"/>
        <v>0</v>
      </c>
      <c r="K113">
        <f t="shared" si="26"/>
        <v>0</v>
      </c>
      <c r="L113">
        <f t="shared" si="26"/>
        <v>0</v>
      </c>
      <c r="M113">
        <f t="shared" si="26"/>
        <v>0</v>
      </c>
      <c r="N113">
        <f t="shared" si="26"/>
        <v>0</v>
      </c>
      <c r="O113" s="363">
        <f t="shared" si="17"/>
        <v>0</v>
      </c>
      <c r="P113" s="363">
        <f t="shared" si="25"/>
        <v>0</v>
      </c>
      <c r="Q113" s="363">
        <f t="shared" si="25"/>
        <v>0</v>
      </c>
      <c r="R113" s="363">
        <f t="shared" si="25"/>
        <v>0</v>
      </c>
      <c r="S113" s="363">
        <f t="shared" si="25"/>
        <v>0</v>
      </c>
      <c r="T113" s="363">
        <f t="shared" si="25"/>
        <v>0</v>
      </c>
      <c r="U113" s="363">
        <f t="shared" si="25"/>
        <v>0</v>
      </c>
      <c r="V113" s="363">
        <f t="shared" si="25"/>
        <v>0</v>
      </c>
      <c r="W113" s="363">
        <f t="shared" si="25"/>
        <v>0</v>
      </c>
      <c r="X113" s="363">
        <f t="shared" si="25"/>
        <v>0</v>
      </c>
      <c r="Y113" s="363">
        <f t="shared" si="25"/>
        <v>0</v>
      </c>
      <c r="Z113" s="363">
        <f t="shared" si="25"/>
        <v>0</v>
      </c>
      <c r="AA113" s="363">
        <f t="shared" si="25"/>
        <v>0</v>
      </c>
      <c r="AB113" s="363">
        <f t="shared" si="25"/>
        <v>0</v>
      </c>
      <c r="AC113" s="363">
        <f t="shared" si="25"/>
        <v>0</v>
      </c>
      <c r="AD113" s="363">
        <f t="shared" si="25"/>
        <v>0</v>
      </c>
      <c r="AE113" s="363">
        <f t="shared" si="25"/>
        <v>0</v>
      </c>
      <c r="AF113" s="363">
        <f t="shared" si="25"/>
        <v>0</v>
      </c>
      <c r="AG113" s="363">
        <f t="shared" si="25"/>
        <v>0</v>
      </c>
      <c r="AH113" s="363">
        <f t="shared" si="25"/>
        <v>0</v>
      </c>
      <c r="AI113" s="363">
        <f t="shared" si="25"/>
        <v>0</v>
      </c>
      <c r="AJ113" s="363">
        <f t="shared" si="25"/>
        <v>0</v>
      </c>
      <c r="AK113" s="363">
        <f t="shared" si="25"/>
        <v>0</v>
      </c>
      <c r="AL113" s="363">
        <f t="shared" si="25"/>
        <v>0</v>
      </c>
      <c r="AM113" s="363">
        <f t="shared" si="25"/>
        <v>0</v>
      </c>
      <c r="AN113" s="363">
        <f t="shared" si="25"/>
        <v>0</v>
      </c>
      <c r="AO113" s="363">
        <f t="shared" si="25"/>
        <v>0</v>
      </c>
      <c r="AP113" s="363">
        <f t="shared" si="25"/>
        <v>0</v>
      </c>
      <c r="AQ113" s="363">
        <f t="shared" ref="P113:AV121" si="27">IFERROR(IF($N113-$D113&gt;=0,($N113-$D113)/COUNT($E$1:$N$1)+AP113,$F467*$E467^AQ$1),0)</f>
        <v>0</v>
      </c>
      <c r="AR113" s="363">
        <f t="shared" si="27"/>
        <v>0</v>
      </c>
      <c r="AS113" s="363">
        <f t="shared" si="27"/>
        <v>0</v>
      </c>
      <c r="AT113" s="363">
        <f t="shared" si="27"/>
        <v>0</v>
      </c>
      <c r="AU113" s="363">
        <f t="shared" si="27"/>
        <v>0</v>
      </c>
      <c r="AV113" s="363">
        <f t="shared" si="27"/>
        <v>0</v>
      </c>
    </row>
    <row r="114" spans="1:48" x14ac:dyDescent="0.25">
      <c r="A114" s="350" t="s">
        <v>1454</v>
      </c>
      <c r="B114" t="s">
        <v>285</v>
      </c>
      <c r="C114" t="s">
        <v>1531</v>
      </c>
      <c r="D114">
        <f t="shared" si="26"/>
        <v>0</v>
      </c>
      <c r="E114">
        <f t="shared" si="26"/>
        <v>0</v>
      </c>
      <c r="F114">
        <f t="shared" si="26"/>
        <v>0</v>
      </c>
      <c r="G114">
        <f t="shared" si="26"/>
        <v>0</v>
      </c>
      <c r="H114">
        <f t="shared" si="26"/>
        <v>0</v>
      </c>
      <c r="I114">
        <f t="shared" si="26"/>
        <v>0</v>
      </c>
      <c r="J114">
        <f t="shared" si="26"/>
        <v>0</v>
      </c>
      <c r="K114">
        <f t="shared" si="26"/>
        <v>0</v>
      </c>
      <c r="L114">
        <f t="shared" si="26"/>
        <v>0</v>
      </c>
      <c r="M114">
        <f t="shared" si="26"/>
        <v>0</v>
      </c>
      <c r="N114">
        <f t="shared" si="26"/>
        <v>0</v>
      </c>
      <c r="O114" s="363">
        <f t="shared" si="17"/>
        <v>0</v>
      </c>
      <c r="P114" s="363">
        <f t="shared" si="27"/>
        <v>0</v>
      </c>
      <c r="Q114" s="363">
        <f t="shared" si="27"/>
        <v>0</v>
      </c>
      <c r="R114" s="363">
        <f t="shared" si="27"/>
        <v>0</v>
      </c>
      <c r="S114" s="363">
        <f t="shared" si="27"/>
        <v>0</v>
      </c>
      <c r="T114" s="363">
        <f t="shared" si="27"/>
        <v>0</v>
      </c>
      <c r="U114" s="363">
        <f t="shared" si="27"/>
        <v>0</v>
      </c>
      <c r="V114" s="363">
        <f t="shared" si="27"/>
        <v>0</v>
      </c>
      <c r="W114" s="363">
        <f t="shared" si="27"/>
        <v>0</v>
      </c>
      <c r="X114" s="363">
        <f t="shared" si="27"/>
        <v>0</v>
      </c>
      <c r="Y114" s="363">
        <f t="shared" si="27"/>
        <v>0</v>
      </c>
      <c r="Z114" s="363">
        <f t="shared" si="27"/>
        <v>0</v>
      </c>
      <c r="AA114" s="363">
        <f t="shared" si="27"/>
        <v>0</v>
      </c>
      <c r="AB114" s="363">
        <f t="shared" si="27"/>
        <v>0</v>
      </c>
      <c r="AC114" s="363">
        <f t="shared" si="27"/>
        <v>0</v>
      </c>
      <c r="AD114" s="363">
        <f t="shared" si="27"/>
        <v>0</v>
      </c>
      <c r="AE114" s="363">
        <f t="shared" si="27"/>
        <v>0</v>
      </c>
      <c r="AF114" s="363">
        <f t="shared" si="27"/>
        <v>0</v>
      </c>
      <c r="AG114" s="363">
        <f t="shared" si="27"/>
        <v>0</v>
      </c>
      <c r="AH114" s="363">
        <f t="shared" si="27"/>
        <v>0</v>
      </c>
      <c r="AI114" s="363">
        <f t="shared" si="27"/>
        <v>0</v>
      </c>
      <c r="AJ114" s="363">
        <f t="shared" si="27"/>
        <v>0</v>
      </c>
      <c r="AK114" s="363">
        <f t="shared" si="27"/>
        <v>0</v>
      </c>
      <c r="AL114" s="363">
        <f t="shared" si="27"/>
        <v>0</v>
      </c>
      <c r="AM114" s="363">
        <f t="shared" si="27"/>
        <v>0</v>
      </c>
      <c r="AN114" s="363">
        <f t="shared" si="27"/>
        <v>0</v>
      </c>
      <c r="AO114" s="363">
        <f t="shared" si="27"/>
        <v>0</v>
      </c>
      <c r="AP114" s="363">
        <f t="shared" si="27"/>
        <v>0</v>
      </c>
      <c r="AQ114" s="363">
        <f t="shared" si="27"/>
        <v>0</v>
      </c>
      <c r="AR114" s="363">
        <f t="shared" si="27"/>
        <v>0</v>
      </c>
      <c r="AS114" s="363">
        <f t="shared" si="27"/>
        <v>0</v>
      </c>
      <c r="AT114" s="363">
        <f t="shared" si="27"/>
        <v>0</v>
      </c>
      <c r="AU114" s="363">
        <f t="shared" si="27"/>
        <v>0</v>
      </c>
      <c r="AV114" s="363">
        <f t="shared" si="27"/>
        <v>0</v>
      </c>
    </row>
    <row r="115" spans="1:48" x14ac:dyDescent="0.25">
      <c r="A115" s="350" t="s">
        <v>1455</v>
      </c>
      <c r="B115" t="s">
        <v>289</v>
      </c>
      <c r="C115" t="s">
        <v>1531</v>
      </c>
      <c r="D115">
        <f t="shared" si="26"/>
        <v>0</v>
      </c>
      <c r="E115">
        <f t="shared" si="26"/>
        <v>0</v>
      </c>
      <c r="F115">
        <f t="shared" si="26"/>
        <v>0</v>
      </c>
      <c r="G115">
        <f t="shared" si="26"/>
        <v>0</v>
      </c>
      <c r="H115">
        <f t="shared" si="26"/>
        <v>0</v>
      </c>
      <c r="I115">
        <f t="shared" si="26"/>
        <v>0</v>
      </c>
      <c r="J115">
        <f t="shared" si="26"/>
        <v>0</v>
      </c>
      <c r="K115">
        <f t="shared" si="26"/>
        <v>0</v>
      </c>
      <c r="L115">
        <f t="shared" si="26"/>
        <v>0</v>
      </c>
      <c r="M115">
        <f t="shared" si="26"/>
        <v>0</v>
      </c>
      <c r="N115">
        <f t="shared" si="26"/>
        <v>0</v>
      </c>
      <c r="O115" s="363">
        <f t="shared" si="17"/>
        <v>0</v>
      </c>
      <c r="P115" s="363">
        <f t="shared" si="27"/>
        <v>0</v>
      </c>
      <c r="Q115" s="363">
        <f t="shared" si="27"/>
        <v>0</v>
      </c>
      <c r="R115" s="363">
        <f t="shared" si="27"/>
        <v>0</v>
      </c>
      <c r="S115" s="363">
        <f t="shared" si="27"/>
        <v>0</v>
      </c>
      <c r="T115" s="363">
        <f t="shared" si="27"/>
        <v>0</v>
      </c>
      <c r="U115" s="363">
        <f t="shared" si="27"/>
        <v>0</v>
      </c>
      <c r="V115" s="363">
        <f t="shared" si="27"/>
        <v>0</v>
      </c>
      <c r="W115" s="363">
        <f t="shared" si="27"/>
        <v>0</v>
      </c>
      <c r="X115" s="363">
        <f t="shared" si="27"/>
        <v>0</v>
      </c>
      <c r="Y115" s="363">
        <f t="shared" si="27"/>
        <v>0</v>
      </c>
      <c r="Z115" s="363">
        <f t="shared" si="27"/>
        <v>0</v>
      </c>
      <c r="AA115" s="363">
        <f t="shared" si="27"/>
        <v>0</v>
      </c>
      <c r="AB115" s="363">
        <f t="shared" si="27"/>
        <v>0</v>
      </c>
      <c r="AC115" s="363">
        <f t="shared" si="27"/>
        <v>0</v>
      </c>
      <c r="AD115" s="363">
        <f t="shared" si="27"/>
        <v>0</v>
      </c>
      <c r="AE115" s="363">
        <f t="shared" si="27"/>
        <v>0</v>
      </c>
      <c r="AF115" s="363">
        <f t="shared" si="27"/>
        <v>0</v>
      </c>
      <c r="AG115" s="363">
        <f t="shared" si="27"/>
        <v>0</v>
      </c>
      <c r="AH115" s="363">
        <f t="shared" si="27"/>
        <v>0</v>
      </c>
      <c r="AI115" s="363">
        <f t="shared" si="27"/>
        <v>0</v>
      </c>
      <c r="AJ115" s="363">
        <f t="shared" si="27"/>
        <v>0</v>
      </c>
      <c r="AK115" s="363">
        <f t="shared" si="27"/>
        <v>0</v>
      </c>
      <c r="AL115" s="363">
        <f t="shared" si="27"/>
        <v>0</v>
      </c>
      <c r="AM115" s="363">
        <f t="shared" si="27"/>
        <v>0</v>
      </c>
      <c r="AN115" s="363">
        <f t="shared" si="27"/>
        <v>0</v>
      </c>
      <c r="AO115" s="363">
        <f t="shared" si="27"/>
        <v>0</v>
      </c>
      <c r="AP115" s="363">
        <f t="shared" si="27"/>
        <v>0</v>
      </c>
      <c r="AQ115" s="363">
        <f t="shared" si="27"/>
        <v>0</v>
      </c>
      <c r="AR115" s="363">
        <f t="shared" si="27"/>
        <v>0</v>
      </c>
      <c r="AS115" s="363">
        <f t="shared" si="27"/>
        <v>0</v>
      </c>
      <c r="AT115" s="363">
        <f t="shared" si="27"/>
        <v>0</v>
      </c>
      <c r="AU115" s="363">
        <f t="shared" si="27"/>
        <v>0</v>
      </c>
      <c r="AV115" s="363">
        <f t="shared" si="27"/>
        <v>0</v>
      </c>
    </row>
    <row r="116" spans="1:48" x14ac:dyDescent="0.25">
      <c r="A116" s="350" t="s">
        <v>1456</v>
      </c>
      <c r="B116" t="s">
        <v>289</v>
      </c>
      <c r="C116" t="s">
        <v>1531</v>
      </c>
      <c r="D116">
        <f t="shared" si="26"/>
        <v>0</v>
      </c>
      <c r="E116">
        <f t="shared" si="26"/>
        <v>0</v>
      </c>
      <c r="F116">
        <f t="shared" si="26"/>
        <v>0</v>
      </c>
      <c r="G116">
        <f t="shared" si="26"/>
        <v>0</v>
      </c>
      <c r="H116">
        <f t="shared" si="26"/>
        <v>0</v>
      </c>
      <c r="I116">
        <f t="shared" si="26"/>
        <v>0</v>
      </c>
      <c r="J116">
        <f t="shared" si="26"/>
        <v>0</v>
      </c>
      <c r="K116">
        <f t="shared" si="26"/>
        <v>0</v>
      </c>
      <c r="L116">
        <f t="shared" si="26"/>
        <v>0</v>
      </c>
      <c r="M116">
        <f t="shared" si="26"/>
        <v>0</v>
      </c>
      <c r="N116">
        <f t="shared" si="26"/>
        <v>0</v>
      </c>
      <c r="O116" s="363">
        <f t="shared" si="17"/>
        <v>0</v>
      </c>
      <c r="P116" s="363">
        <f t="shared" si="27"/>
        <v>0</v>
      </c>
      <c r="Q116" s="363">
        <f t="shared" si="27"/>
        <v>0</v>
      </c>
      <c r="R116" s="363">
        <f t="shared" si="27"/>
        <v>0</v>
      </c>
      <c r="S116" s="363">
        <f t="shared" si="27"/>
        <v>0</v>
      </c>
      <c r="T116" s="363">
        <f t="shared" si="27"/>
        <v>0</v>
      </c>
      <c r="U116" s="363">
        <f t="shared" si="27"/>
        <v>0</v>
      </c>
      <c r="V116" s="363">
        <f t="shared" si="27"/>
        <v>0</v>
      </c>
      <c r="W116" s="363">
        <f t="shared" si="27"/>
        <v>0</v>
      </c>
      <c r="X116" s="363">
        <f t="shared" si="27"/>
        <v>0</v>
      </c>
      <c r="Y116" s="363">
        <f t="shared" si="27"/>
        <v>0</v>
      </c>
      <c r="Z116" s="363">
        <f t="shared" si="27"/>
        <v>0</v>
      </c>
      <c r="AA116" s="363">
        <f t="shared" si="27"/>
        <v>0</v>
      </c>
      <c r="AB116" s="363">
        <f t="shared" si="27"/>
        <v>0</v>
      </c>
      <c r="AC116" s="363">
        <f t="shared" si="27"/>
        <v>0</v>
      </c>
      <c r="AD116" s="363">
        <f t="shared" si="27"/>
        <v>0</v>
      </c>
      <c r="AE116" s="363">
        <f t="shared" si="27"/>
        <v>0</v>
      </c>
      <c r="AF116" s="363">
        <f t="shared" si="27"/>
        <v>0</v>
      </c>
      <c r="AG116" s="363">
        <f t="shared" si="27"/>
        <v>0</v>
      </c>
      <c r="AH116" s="363">
        <f t="shared" si="27"/>
        <v>0</v>
      </c>
      <c r="AI116" s="363">
        <f t="shared" si="27"/>
        <v>0</v>
      </c>
      <c r="AJ116" s="363">
        <f t="shared" si="27"/>
        <v>0</v>
      </c>
      <c r="AK116" s="363">
        <f t="shared" si="27"/>
        <v>0</v>
      </c>
      <c r="AL116" s="363">
        <f t="shared" si="27"/>
        <v>0</v>
      </c>
      <c r="AM116" s="363">
        <f t="shared" si="27"/>
        <v>0</v>
      </c>
      <c r="AN116" s="363">
        <f t="shared" si="27"/>
        <v>0</v>
      </c>
      <c r="AO116" s="363">
        <f t="shared" si="27"/>
        <v>0</v>
      </c>
      <c r="AP116" s="363">
        <f t="shared" si="27"/>
        <v>0</v>
      </c>
      <c r="AQ116" s="363">
        <f t="shared" si="27"/>
        <v>0</v>
      </c>
      <c r="AR116" s="363">
        <f t="shared" si="27"/>
        <v>0</v>
      </c>
      <c r="AS116" s="363">
        <f t="shared" si="27"/>
        <v>0</v>
      </c>
      <c r="AT116" s="363">
        <f t="shared" si="27"/>
        <v>0</v>
      </c>
      <c r="AU116" s="363">
        <f t="shared" si="27"/>
        <v>0</v>
      </c>
      <c r="AV116" s="363">
        <f t="shared" si="27"/>
        <v>0</v>
      </c>
    </row>
    <row r="117" spans="1:48" x14ac:dyDescent="0.25">
      <c r="A117" s="352" t="s">
        <v>1732</v>
      </c>
      <c r="B117" t="s">
        <v>295</v>
      </c>
      <c r="C117" t="s">
        <v>1531</v>
      </c>
      <c r="D117">
        <f t="shared" si="26"/>
        <v>0</v>
      </c>
      <c r="E117">
        <f t="shared" si="26"/>
        <v>0</v>
      </c>
      <c r="F117">
        <f t="shared" si="26"/>
        <v>0</v>
      </c>
      <c r="G117">
        <f t="shared" si="26"/>
        <v>0</v>
      </c>
      <c r="H117">
        <f t="shared" si="26"/>
        <v>0</v>
      </c>
      <c r="I117">
        <f t="shared" si="26"/>
        <v>0</v>
      </c>
      <c r="J117">
        <f t="shared" si="26"/>
        <v>0</v>
      </c>
      <c r="K117">
        <f t="shared" si="26"/>
        <v>0</v>
      </c>
      <c r="L117">
        <f t="shared" si="26"/>
        <v>0</v>
      </c>
      <c r="M117">
        <f t="shared" si="26"/>
        <v>0</v>
      </c>
      <c r="N117">
        <f t="shared" si="26"/>
        <v>0</v>
      </c>
      <c r="O117" s="363">
        <f t="shared" si="17"/>
        <v>0</v>
      </c>
      <c r="P117" s="363">
        <f t="shared" si="27"/>
        <v>0</v>
      </c>
      <c r="Q117" s="363">
        <f t="shared" si="27"/>
        <v>0</v>
      </c>
      <c r="R117" s="363">
        <f t="shared" si="27"/>
        <v>0</v>
      </c>
      <c r="S117" s="363">
        <f t="shared" si="27"/>
        <v>0</v>
      </c>
      <c r="T117" s="363">
        <f t="shared" si="27"/>
        <v>0</v>
      </c>
      <c r="U117" s="363">
        <f t="shared" si="27"/>
        <v>0</v>
      </c>
      <c r="V117" s="363">
        <f t="shared" si="27"/>
        <v>0</v>
      </c>
      <c r="W117" s="363">
        <f t="shared" si="27"/>
        <v>0</v>
      </c>
      <c r="X117" s="363">
        <f t="shared" si="27"/>
        <v>0</v>
      </c>
      <c r="Y117" s="363">
        <f t="shared" si="27"/>
        <v>0</v>
      </c>
      <c r="Z117" s="363">
        <f t="shared" si="27"/>
        <v>0</v>
      </c>
      <c r="AA117" s="363">
        <f t="shared" si="27"/>
        <v>0</v>
      </c>
      <c r="AB117" s="363">
        <f t="shared" si="27"/>
        <v>0</v>
      </c>
      <c r="AC117" s="363">
        <f t="shared" si="27"/>
        <v>0</v>
      </c>
      <c r="AD117" s="363">
        <f t="shared" si="27"/>
        <v>0</v>
      </c>
      <c r="AE117" s="363">
        <f t="shared" si="27"/>
        <v>0</v>
      </c>
      <c r="AF117" s="363">
        <f t="shared" si="27"/>
        <v>0</v>
      </c>
      <c r="AG117" s="363">
        <f t="shared" si="27"/>
        <v>0</v>
      </c>
      <c r="AH117" s="363">
        <f t="shared" si="27"/>
        <v>0</v>
      </c>
      <c r="AI117" s="363">
        <f t="shared" si="27"/>
        <v>0</v>
      </c>
      <c r="AJ117" s="363">
        <f t="shared" si="27"/>
        <v>0</v>
      </c>
      <c r="AK117" s="363">
        <f t="shared" si="27"/>
        <v>0</v>
      </c>
      <c r="AL117" s="363">
        <f t="shared" si="27"/>
        <v>0</v>
      </c>
      <c r="AM117" s="363">
        <f t="shared" si="27"/>
        <v>0</v>
      </c>
      <c r="AN117" s="363">
        <f t="shared" si="27"/>
        <v>0</v>
      </c>
      <c r="AO117" s="363">
        <f t="shared" si="27"/>
        <v>0</v>
      </c>
      <c r="AP117" s="363">
        <f t="shared" si="27"/>
        <v>0</v>
      </c>
      <c r="AQ117" s="363">
        <f t="shared" si="27"/>
        <v>0</v>
      </c>
      <c r="AR117" s="363">
        <f t="shared" si="27"/>
        <v>0</v>
      </c>
      <c r="AS117" s="363">
        <f t="shared" si="27"/>
        <v>0</v>
      </c>
      <c r="AT117" s="363">
        <f t="shared" si="27"/>
        <v>0</v>
      </c>
      <c r="AU117" s="363">
        <f t="shared" si="27"/>
        <v>0</v>
      </c>
      <c r="AV117" s="363">
        <f t="shared" si="27"/>
        <v>0</v>
      </c>
    </row>
    <row r="118" spans="1:48" x14ac:dyDescent="0.25">
      <c r="A118" s="350" t="s">
        <v>1718</v>
      </c>
      <c r="B118" t="s">
        <v>1461</v>
      </c>
      <c r="C118" t="s">
        <v>1531</v>
      </c>
      <c r="D118">
        <f t="shared" si="26"/>
        <v>0</v>
      </c>
      <c r="E118">
        <f t="shared" si="26"/>
        <v>0</v>
      </c>
      <c r="F118">
        <f t="shared" si="26"/>
        <v>0</v>
      </c>
      <c r="G118">
        <f t="shared" si="26"/>
        <v>0</v>
      </c>
      <c r="H118">
        <f t="shared" si="26"/>
        <v>0</v>
      </c>
      <c r="I118">
        <f t="shared" si="26"/>
        <v>0</v>
      </c>
      <c r="J118">
        <f t="shared" si="26"/>
        <v>0</v>
      </c>
      <c r="K118">
        <f t="shared" si="26"/>
        <v>0</v>
      </c>
      <c r="L118">
        <f t="shared" si="26"/>
        <v>0</v>
      </c>
      <c r="M118">
        <f t="shared" si="26"/>
        <v>0</v>
      </c>
      <c r="N118">
        <f t="shared" si="26"/>
        <v>0</v>
      </c>
      <c r="O118" s="363">
        <f t="shared" si="17"/>
        <v>0</v>
      </c>
      <c r="P118" s="363">
        <f t="shared" si="27"/>
        <v>0</v>
      </c>
      <c r="Q118" s="363">
        <f t="shared" si="27"/>
        <v>0</v>
      </c>
      <c r="R118" s="363">
        <f t="shared" si="27"/>
        <v>0</v>
      </c>
      <c r="S118" s="363">
        <f t="shared" si="27"/>
        <v>0</v>
      </c>
      <c r="T118" s="363">
        <f t="shared" si="27"/>
        <v>0</v>
      </c>
      <c r="U118" s="363">
        <f t="shared" si="27"/>
        <v>0</v>
      </c>
      <c r="V118" s="363">
        <f t="shared" si="27"/>
        <v>0</v>
      </c>
      <c r="W118" s="363">
        <f t="shared" si="27"/>
        <v>0</v>
      </c>
      <c r="X118" s="363">
        <f t="shared" si="27"/>
        <v>0</v>
      </c>
      <c r="Y118" s="363">
        <f t="shared" si="27"/>
        <v>0</v>
      </c>
      <c r="Z118" s="363">
        <f t="shared" si="27"/>
        <v>0</v>
      </c>
      <c r="AA118" s="363">
        <f t="shared" si="27"/>
        <v>0</v>
      </c>
      <c r="AB118" s="363">
        <f t="shared" si="27"/>
        <v>0</v>
      </c>
      <c r="AC118" s="363">
        <f t="shared" si="27"/>
        <v>0</v>
      </c>
      <c r="AD118" s="363">
        <f t="shared" si="27"/>
        <v>0</v>
      </c>
      <c r="AE118" s="363">
        <f t="shared" si="27"/>
        <v>0</v>
      </c>
      <c r="AF118" s="363">
        <f t="shared" si="27"/>
        <v>0</v>
      </c>
      <c r="AG118" s="363">
        <f t="shared" si="27"/>
        <v>0</v>
      </c>
      <c r="AH118" s="363">
        <f t="shared" si="27"/>
        <v>0</v>
      </c>
      <c r="AI118" s="363">
        <f t="shared" si="27"/>
        <v>0</v>
      </c>
      <c r="AJ118" s="363">
        <f t="shared" si="27"/>
        <v>0</v>
      </c>
      <c r="AK118" s="363">
        <f t="shared" si="27"/>
        <v>0</v>
      </c>
      <c r="AL118" s="363">
        <f t="shared" si="27"/>
        <v>0</v>
      </c>
      <c r="AM118" s="363">
        <f t="shared" si="27"/>
        <v>0</v>
      </c>
      <c r="AN118" s="363">
        <f t="shared" si="27"/>
        <v>0</v>
      </c>
      <c r="AO118" s="363">
        <f t="shared" si="27"/>
        <v>0</v>
      </c>
      <c r="AP118" s="363">
        <f t="shared" si="27"/>
        <v>0</v>
      </c>
      <c r="AQ118" s="363">
        <f t="shared" si="27"/>
        <v>0</v>
      </c>
      <c r="AR118" s="363">
        <f t="shared" si="27"/>
        <v>0</v>
      </c>
      <c r="AS118" s="363">
        <f t="shared" si="27"/>
        <v>0</v>
      </c>
      <c r="AT118" s="363">
        <f t="shared" si="27"/>
        <v>0</v>
      </c>
      <c r="AU118" s="363">
        <f t="shared" si="27"/>
        <v>0</v>
      </c>
      <c r="AV118" s="363">
        <f t="shared" si="27"/>
        <v>0</v>
      </c>
    </row>
    <row r="119" spans="1:48" x14ac:dyDescent="0.25">
      <c r="A119" s="350" t="s">
        <v>1719</v>
      </c>
      <c r="B119" t="s">
        <v>295</v>
      </c>
      <c r="C119" t="s">
        <v>1531</v>
      </c>
      <c r="D119">
        <f t="shared" si="26"/>
        <v>0</v>
      </c>
      <c r="E119">
        <f t="shared" si="26"/>
        <v>0</v>
      </c>
      <c r="F119">
        <f t="shared" si="26"/>
        <v>0</v>
      </c>
      <c r="G119">
        <f t="shared" si="26"/>
        <v>0</v>
      </c>
      <c r="H119">
        <f t="shared" si="26"/>
        <v>0</v>
      </c>
      <c r="I119">
        <f t="shared" si="26"/>
        <v>0</v>
      </c>
      <c r="J119">
        <f t="shared" si="26"/>
        <v>0</v>
      </c>
      <c r="K119">
        <f t="shared" si="26"/>
        <v>0</v>
      </c>
      <c r="L119">
        <f t="shared" si="26"/>
        <v>0</v>
      </c>
      <c r="M119">
        <f t="shared" si="26"/>
        <v>0</v>
      </c>
      <c r="N119">
        <f t="shared" si="26"/>
        <v>0</v>
      </c>
      <c r="O119" s="363">
        <f t="shared" si="17"/>
        <v>0</v>
      </c>
      <c r="P119" s="363">
        <f t="shared" si="27"/>
        <v>0</v>
      </c>
      <c r="Q119" s="363">
        <f t="shared" si="27"/>
        <v>0</v>
      </c>
      <c r="R119" s="363">
        <f t="shared" si="27"/>
        <v>0</v>
      </c>
      <c r="S119" s="363">
        <f t="shared" si="27"/>
        <v>0</v>
      </c>
      <c r="T119" s="363">
        <f t="shared" si="27"/>
        <v>0</v>
      </c>
      <c r="U119" s="363">
        <f t="shared" si="27"/>
        <v>0</v>
      </c>
      <c r="V119" s="363">
        <f t="shared" si="27"/>
        <v>0</v>
      </c>
      <c r="W119" s="363">
        <f t="shared" si="27"/>
        <v>0</v>
      </c>
      <c r="X119" s="363">
        <f t="shared" si="27"/>
        <v>0</v>
      </c>
      <c r="Y119" s="363">
        <f t="shared" si="27"/>
        <v>0</v>
      </c>
      <c r="Z119" s="363">
        <f t="shared" si="27"/>
        <v>0</v>
      </c>
      <c r="AA119" s="363">
        <f t="shared" si="27"/>
        <v>0</v>
      </c>
      <c r="AB119" s="363">
        <f t="shared" si="27"/>
        <v>0</v>
      </c>
      <c r="AC119" s="363">
        <f t="shared" si="27"/>
        <v>0</v>
      </c>
      <c r="AD119" s="363">
        <f t="shared" si="27"/>
        <v>0</v>
      </c>
      <c r="AE119" s="363">
        <f t="shared" si="27"/>
        <v>0</v>
      </c>
      <c r="AF119" s="363">
        <f t="shared" si="27"/>
        <v>0</v>
      </c>
      <c r="AG119" s="363">
        <f t="shared" si="27"/>
        <v>0</v>
      </c>
      <c r="AH119" s="363">
        <f t="shared" si="27"/>
        <v>0</v>
      </c>
      <c r="AI119" s="363">
        <f t="shared" si="27"/>
        <v>0</v>
      </c>
      <c r="AJ119" s="363">
        <f t="shared" si="27"/>
        <v>0</v>
      </c>
      <c r="AK119" s="363">
        <f t="shared" si="27"/>
        <v>0</v>
      </c>
      <c r="AL119" s="363">
        <f t="shared" si="27"/>
        <v>0</v>
      </c>
      <c r="AM119" s="363">
        <f t="shared" si="27"/>
        <v>0</v>
      </c>
      <c r="AN119" s="363">
        <f t="shared" si="27"/>
        <v>0</v>
      </c>
      <c r="AO119" s="363">
        <f t="shared" si="27"/>
        <v>0</v>
      </c>
      <c r="AP119" s="363">
        <f t="shared" si="27"/>
        <v>0</v>
      </c>
      <c r="AQ119" s="363">
        <f t="shared" si="27"/>
        <v>0</v>
      </c>
      <c r="AR119" s="363">
        <f t="shared" si="27"/>
        <v>0</v>
      </c>
      <c r="AS119" s="363">
        <f t="shared" si="27"/>
        <v>0</v>
      </c>
      <c r="AT119" s="363">
        <f t="shared" si="27"/>
        <v>0</v>
      </c>
      <c r="AU119" s="363">
        <f t="shared" si="27"/>
        <v>0</v>
      </c>
      <c r="AV119" s="363">
        <f t="shared" si="27"/>
        <v>0</v>
      </c>
    </row>
    <row r="120" spans="1:48" s="103" customFormat="1" x14ac:dyDescent="0.25">
      <c r="A120" s="353" t="s">
        <v>1720</v>
      </c>
      <c r="B120" s="103" t="s">
        <v>1734</v>
      </c>
      <c r="C120" s="103" t="s">
        <v>1531</v>
      </c>
      <c r="D120" s="103">
        <f t="shared" si="26"/>
        <v>0</v>
      </c>
      <c r="E120" s="103">
        <f t="shared" si="26"/>
        <v>0</v>
      </c>
      <c r="F120" s="103">
        <f t="shared" si="26"/>
        <v>0</v>
      </c>
      <c r="G120" s="103">
        <f t="shared" si="26"/>
        <v>0</v>
      </c>
      <c r="H120" s="103">
        <f t="shared" si="26"/>
        <v>0</v>
      </c>
      <c r="I120" s="103">
        <f t="shared" si="26"/>
        <v>0</v>
      </c>
      <c r="J120" s="103">
        <f t="shared" si="26"/>
        <v>0</v>
      </c>
      <c r="K120" s="103">
        <f t="shared" si="26"/>
        <v>0</v>
      </c>
      <c r="L120" s="103">
        <f t="shared" si="26"/>
        <v>0</v>
      </c>
      <c r="M120" s="103">
        <f t="shared" si="26"/>
        <v>0</v>
      </c>
      <c r="N120" s="103">
        <f t="shared" si="26"/>
        <v>0</v>
      </c>
      <c r="O120" s="363">
        <f t="shared" si="17"/>
        <v>0</v>
      </c>
      <c r="P120" s="363">
        <f t="shared" si="27"/>
        <v>0</v>
      </c>
      <c r="Q120" s="363">
        <f t="shared" si="27"/>
        <v>0</v>
      </c>
      <c r="R120" s="363">
        <f t="shared" si="27"/>
        <v>0</v>
      </c>
      <c r="S120" s="363">
        <f t="shared" si="27"/>
        <v>0</v>
      </c>
      <c r="T120" s="363">
        <f t="shared" si="27"/>
        <v>0</v>
      </c>
      <c r="U120" s="363">
        <f t="shared" si="27"/>
        <v>0</v>
      </c>
      <c r="V120" s="363">
        <f t="shared" si="27"/>
        <v>0</v>
      </c>
      <c r="W120" s="363">
        <f t="shared" si="27"/>
        <v>0</v>
      </c>
      <c r="X120" s="363">
        <f t="shared" si="27"/>
        <v>0</v>
      </c>
      <c r="Y120" s="363">
        <f t="shared" si="27"/>
        <v>0</v>
      </c>
      <c r="Z120" s="363">
        <f t="shared" si="27"/>
        <v>0</v>
      </c>
      <c r="AA120" s="363">
        <f t="shared" si="27"/>
        <v>0</v>
      </c>
      <c r="AB120" s="363">
        <f t="shared" si="27"/>
        <v>0</v>
      </c>
      <c r="AC120" s="363">
        <f t="shared" si="27"/>
        <v>0</v>
      </c>
      <c r="AD120" s="363">
        <f t="shared" si="27"/>
        <v>0</v>
      </c>
      <c r="AE120" s="363">
        <f t="shared" si="27"/>
        <v>0</v>
      </c>
      <c r="AF120" s="363">
        <f t="shared" si="27"/>
        <v>0</v>
      </c>
      <c r="AG120" s="363">
        <f t="shared" si="27"/>
        <v>0</v>
      </c>
      <c r="AH120" s="363">
        <f t="shared" si="27"/>
        <v>0</v>
      </c>
      <c r="AI120" s="363">
        <f t="shared" si="27"/>
        <v>0</v>
      </c>
      <c r="AJ120" s="363">
        <f t="shared" si="27"/>
        <v>0</v>
      </c>
      <c r="AK120" s="363">
        <f t="shared" si="27"/>
        <v>0</v>
      </c>
      <c r="AL120" s="363">
        <f t="shared" si="27"/>
        <v>0</v>
      </c>
      <c r="AM120" s="363">
        <f t="shared" si="27"/>
        <v>0</v>
      </c>
      <c r="AN120" s="363">
        <f t="shared" si="27"/>
        <v>0</v>
      </c>
      <c r="AO120" s="363">
        <f t="shared" si="27"/>
        <v>0</v>
      </c>
      <c r="AP120" s="363">
        <f t="shared" si="27"/>
        <v>0</v>
      </c>
      <c r="AQ120" s="363">
        <f t="shared" si="27"/>
        <v>0</v>
      </c>
      <c r="AR120" s="363">
        <f t="shared" si="27"/>
        <v>0</v>
      </c>
      <c r="AS120" s="363">
        <f t="shared" si="27"/>
        <v>0</v>
      </c>
      <c r="AT120" s="363">
        <f t="shared" si="27"/>
        <v>0</v>
      </c>
      <c r="AU120" s="363">
        <f t="shared" si="27"/>
        <v>0</v>
      </c>
      <c r="AV120" s="363">
        <f t="shared" si="27"/>
        <v>0</v>
      </c>
    </row>
    <row r="121" spans="1:48" x14ac:dyDescent="0.25">
      <c r="A121" s="350" t="s">
        <v>1721</v>
      </c>
      <c r="B121" t="s">
        <v>295</v>
      </c>
      <c r="C121" t="s">
        <v>1531</v>
      </c>
      <c r="D121">
        <f t="shared" si="26"/>
        <v>0</v>
      </c>
      <c r="E121">
        <f t="shared" si="26"/>
        <v>0</v>
      </c>
      <c r="F121">
        <f t="shared" si="26"/>
        <v>0</v>
      </c>
      <c r="G121">
        <f t="shared" si="26"/>
        <v>0</v>
      </c>
      <c r="H121">
        <f t="shared" si="26"/>
        <v>0</v>
      </c>
      <c r="I121">
        <f t="shared" si="26"/>
        <v>0</v>
      </c>
      <c r="J121">
        <f t="shared" si="26"/>
        <v>0</v>
      </c>
      <c r="K121">
        <f t="shared" si="26"/>
        <v>0</v>
      </c>
      <c r="L121">
        <f t="shared" si="26"/>
        <v>0</v>
      </c>
      <c r="M121">
        <f t="shared" si="26"/>
        <v>0</v>
      </c>
      <c r="N121">
        <f t="shared" si="26"/>
        <v>0</v>
      </c>
      <c r="O121" s="363">
        <f t="shared" si="17"/>
        <v>0</v>
      </c>
      <c r="P121" s="363">
        <f t="shared" si="27"/>
        <v>0</v>
      </c>
      <c r="Q121" s="363">
        <f t="shared" si="27"/>
        <v>0</v>
      </c>
      <c r="R121" s="363">
        <f t="shared" si="27"/>
        <v>0</v>
      </c>
      <c r="S121" s="363">
        <f t="shared" si="27"/>
        <v>0</v>
      </c>
      <c r="T121" s="363">
        <f t="shared" si="27"/>
        <v>0</v>
      </c>
      <c r="U121" s="363">
        <f t="shared" si="27"/>
        <v>0</v>
      </c>
      <c r="V121" s="363">
        <f t="shared" si="27"/>
        <v>0</v>
      </c>
      <c r="W121" s="363">
        <f t="shared" si="27"/>
        <v>0</v>
      </c>
      <c r="X121" s="363">
        <f t="shared" si="27"/>
        <v>0</v>
      </c>
      <c r="Y121" s="363">
        <f t="shared" si="27"/>
        <v>0</v>
      </c>
      <c r="Z121" s="363">
        <f t="shared" si="27"/>
        <v>0</v>
      </c>
      <c r="AA121" s="363">
        <f t="shared" si="27"/>
        <v>0</v>
      </c>
      <c r="AB121" s="363">
        <f t="shared" si="27"/>
        <v>0</v>
      </c>
      <c r="AC121" s="363">
        <f t="shared" si="27"/>
        <v>0</v>
      </c>
      <c r="AD121" s="363">
        <f t="shared" si="27"/>
        <v>0</v>
      </c>
      <c r="AE121" s="363">
        <f t="shared" si="27"/>
        <v>0</v>
      </c>
      <c r="AF121" s="363">
        <f t="shared" si="27"/>
        <v>0</v>
      </c>
      <c r="AG121" s="363">
        <f t="shared" si="27"/>
        <v>0</v>
      </c>
      <c r="AH121" s="363">
        <f t="shared" ref="P121:AV129" si="28">IFERROR(IF($N121-$D121&gt;=0,($N121-$D121)/COUNT($E$1:$N$1)+AG121,$F475*$E475^AH$1),0)</f>
        <v>0</v>
      </c>
      <c r="AI121" s="363">
        <f t="shared" si="28"/>
        <v>0</v>
      </c>
      <c r="AJ121" s="363">
        <f t="shared" si="28"/>
        <v>0</v>
      </c>
      <c r="AK121" s="363">
        <f t="shared" si="28"/>
        <v>0</v>
      </c>
      <c r="AL121" s="363">
        <f t="shared" si="28"/>
        <v>0</v>
      </c>
      <c r="AM121" s="363">
        <f t="shared" si="28"/>
        <v>0</v>
      </c>
      <c r="AN121" s="363">
        <f t="shared" si="28"/>
        <v>0</v>
      </c>
      <c r="AO121" s="363">
        <f t="shared" si="28"/>
        <v>0</v>
      </c>
      <c r="AP121" s="363">
        <f t="shared" si="28"/>
        <v>0</v>
      </c>
      <c r="AQ121" s="363">
        <f t="shared" si="28"/>
        <v>0</v>
      </c>
      <c r="AR121" s="363">
        <f t="shared" si="28"/>
        <v>0</v>
      </c>
      <c r="AS121" s="363">
        <f t="shared" si="28"/>
        <v>0</v>
      </c>
      <c r="AT121" s="363">
        <f t="shared" si="28"/>
        <v>0</v>
      </c>
      <c r="AU121" s="363">
        <f t="shared" si="28"/>
        <v>0</v>
      </c>
      <c r="AV121" s="363">
        <f t="shared" si="28"/>
        <v>0</v>
      </c>
    </row>
    <row r="122" spans="1:48" x14ac:dyDescent="0.25">
      <c r="A122" s="350" t="s">
        <v>1723</v>
      </c>
      <c r="B122" t="s">
        <v>295</v>
      </c>
      <c r="C122" t="s">
        <v>1531</v>
      </c>
      <c r="D122">
        <f t="shared" si="26"/>
        <v>0</v>
      </c>
      <c r="E122">
        <f t="shared" si="26"/>
        <v>0</v>
      </c>
      <c r="F122">
        <f t="shared" si="26"/>
        <v>0</v>
      </c>
      <c r="G122">
        <f t="shared" si="26"/>
        <v>0</v>
      </c>
      <c r="H122">
        <f t="shared" si="26"/>
        <v>0</v>
      </c>
      <c r="I122">
        <f t="shared" si="26"/>
        <v>0</v>
      </c>
      <c r="J122">
        <f t="shared" si="26"/>
        <v>0</v>
      </c>
      <c r="K122">
        <f t="shared" si="26"/>
        <v>0</v>
      </c>
      <c r="L122">
        <f t="shared" si="26"/>
        <v>0</v>
      </c>
      <c r="M122">
        <f t="shared" si="26"/>
        <v>0</v>
      </c>
      <c r="N122">
        <f t="shared" si="26"/>
        <v>0</v>
      </c>
      <c r="O122" s="363">
        <f t="shared" si="17"/>
        <v>0</v>
      </c>
      <c r="P122" s="363">
        <f t="shared" si="28"/>
        <v>0</v>
      </c>
      <c r="Q122" s="363">
        <f t="shared" si="28"/>
        <v>0</v>
      </c>
      <c r="R122" s="363">
        <f t="shared" si="28"/>
        <v>0</v>
      </c>
      <c r="S122" s="363">
        <f t="shared" si="28"/>
        <v>0</v>
      </c>
      <c r="T122" s="363">
        <f t="shared" si="28"/>
        <v>0</v>
      </c>
      <c r="U122" s="363">
        <f t="shared" si="28"/>
        <v>0</v>
      </c>
      <c r="V122" s="363">
        <f t="shared" si="28"/>
        <v>0</v>
      </c>
      <c r="W122" s="363">
        <f t="shared" si="28"/>
        <v>0</v>
      </c>
      <c r="X122" s="363">
        <f t="shared" si="28"/>
        <v>0</v>
      </c>
      <c r="Y122" s="363">
        <f t="shared" si="28"/>
        <v>0</v>
      </c>
      <c r="Z122" s="363">
        <f t="shared" si="28"/>
        <v>0</v>
      </c>
      <c r="AA122" s="363">
        <f t="shared" si="28"/>
        <v>0</v>
      </c>
      <c r="AB122" s="363">
        <f t="shared" si="28"/>
        <v>0</v>
      </c>
      <c r="AC122" s="363">
        <f t="shared" si="28"/>
        <v>0</v>
      </c>
      <c r="AD122" s="363">
        <f t="shared" si="28"/>
        <v>0</v>
      </c>
      <c r="AE122" s="363">
        <f t="shared" si="28"/>
        <v>0</v>
      </c>
      <c r="AF122" s="363">
        <f t="shared" si="28"/>
        <v>0</v>
      </c>
      <c r="AG122" s="363">
        <f t="shared" si="28"/>
        <v>0</v>
      </c>
      <c r="AH122" s="363">
        <f t="shared" si="28"/>
        <v>0</v>
      </c>
      <c r="AI122" s="363">
        <f t="shared" si="28"/>
        <v>0</v>
      </c>
      <c r="AJ122" s="363">
        <f t="shared" si="28"/>
        <v>0</v>
      </c>
      <c r="AK122" s="363">
        <f t="shared" si="28"/>
        <v>0</v>
      </c>
      <c r="AL122" s="363">
        <f t="shared" si="28"/>
        <v>0</v>
      </c>
      <c r="AM122" s="363">
        <f t="shared" si="28"/>
        <v>0</v>
      </c>
      <c r="AN122" s="363">
        <f t="shared" si="28"/>
        <v>0</v>
      </c>
      <c r="AO122" s="363">
        <f t="shared" si="28"/>
        <v>0</v>
      </c>
      <c r="AP122" s="363">
        <f t="shared" si="28"/>
        <v>0</v>
      </c>
      <c r="AQ122" s="363">
        <f t="shared" si="28"/>
        <v>0</v>
      </c>
      <c r="AR122" s="363">
        <f t="shared" si="28"/>
        <v>0</v>
      </c>
      <c r="AS122" s="363">
        <f t="shared" si="28"/>
        <v>0</v>
      </c>
      <c r="AT122" s="363">
        <f t="shared" si="28"/>
        <v>0</v>
      </c>
      <c r="AU122" s="363">
        <f t="shared" si="28"/>
        <v>0</v>
      </c>
      <c r="AV122" s="363">
        <f t="shared" si="28"/>
        <v>0</v>
      </c>
    </row>
    <row r="123" spans="1:48" x14ac:dyDescent="0.25">
      <c r="A123" s="350" t="s">
        <v>1439</v>
      </c>
      <c r="B123" t="s">
        <v>1460</v>
      </c>
      <c r="C123" t="s">
        <v>1532</v>
      </c>
      <c r="D123">
        <f t="shared" ref="D123:N132" si="29">IFERROR(INDEX($B$255:$AB$257,MATCH($A123,$A$255:$A$257,0),MATCH(D$1,$B$176:$AB$176,0)),0)</f>
        <v>0</v>
      </c>
      <c r="E123">
        <f t="shared" si="29"/>
        <v>0</v>
      </c>
      <c r="F123">
        <f t="shared" si="29"/>
        <v>0</v>
      </c>
      <c r="G123">
        <f t="shared" si="29"/>
        <v>0</v>
      </c>
      <c r="H123">
        <f t="shared" si="29"/>
        <v>0</v>
      </c>
      <c r="I123">
        <f t="shared" si="29"/>
        <v>0</v>
      </c>
      <c r="J123">
        <f t="shared" si="29"/>
        <v>0</v>
      </c>
      <c r="K123">
        <f t="shared" si="29"/>
        <v>0</v>
      </c>
      <c r="L123">
        <f t="shared" si="29"/>
        <v>0</v>
      </c>
      <c r="M123">
        <f t="shared" si="29"/>
        <v>0</v>
      </c>
      <c r="N123">
        <f t="shared" si="29"/>
        <v>0</v>
      </c>
      <c r="O123" s="363">
        <f t="shared" si="17"/>
        <v>0</v>
      </c>
      <c r="P123" s="363">
        <f t="shared" si="28"/>
        <v>0</v>
      </c>
      <c r="Q123" s="363">
        <f t="shared" si="28"/>
        <v>0</v>
      </c>
      <c r="R123" s="363">
        <f t="shared" si="28"/>
        <v>0</v>
      </c>
      <c r="S123" s="363">
        <f t="shared" si="28"/>
        <v>0</v>
      </c>
      <c r="T123" s="363">
        <f t="shared" si="28"/>
        <v>0</v>
      </c>
      <c r="U123" s="363">
        <f t="shared" si="28"/>
        <v>0</v>
      </c>
      <c r="V123" s="363">
        <f t="shared" si="28"/>
        <v>0</v>
      </c>
      <c r="W123" s="363">
        <f t="shared" si="28"/>
        <v>0</v>
      </c>
      <c r="X123" s="363">
        <f t="shared" si="28"/>
        <v>0</v>
      </c>
      <c r="Y123" s="363">
        <f t="shared" si="28"/>
        <v>0</v>
      </c>
      <c r="Z123" s="363">
        <f t="shared" si="28"/>
        <v>0</v>
      </c>
      <c r="AA123" s="363">
        <f t="shared" si="28"/>
        <v>0</v>
      </c>
      <c r="AB123" s="363">
        <f t="shared" si="28"/>
        <v>0</v>
      </c>
      <c r="AC123" s="363">
        <f t="shared" si="28"/>
        <v>0</v>
      </c>
      <c r="AD123" s="363">
        <f t="shared" si="28"/>
        <v>0</v>
      </c>
      <c r="AE123" s="363">
        <f t="shared" si="28"/>
        <v>0</v>
      </c>
      <c r="AF123" s="363">
        <f t="shared" si="28"/>
        <v>0</v>
      </c>
      <c r="AG123" s="363">
        <f t="shared" si="28"/>
        <v>0</v>
      </c>
      <c r="AH123" s="363">
        <f t="shared" si="28"/>
        <v>0</v>
      </c>
      <c r="AI123" s="363">
        <f t="shared" si="28"/>
        <v>0</v>
      </c>
      <c r="AJ123" s="363">
        <f t="shared" si="28"/>
        <v>0</v>
      </c>
      <c r="AK123" s="363">
        <f t="shared" si="28"/>
        <v>0</v>
      </c>
      <c r="AL123" s="363">
        <f t="shared" si="28"/>
        <v>0</v>
      </c>
      <c r="AM123" s="363">
        <f t="shared" si="28"/>
        <v>0</v>
      </c>
      <c r="AN123" s="363">
        <f t="shared" si="28"/>
        <v>0</v>
      </c>
      <c r="AO123" s="363">
        <f t="shared" si="28"/>
        <v>0</v>
      </c>
      <c r="AP123" s="363">
        <f t="shared" si="28"/>
        <v>0</v>
      </c>
      <c r="AQ123" s="363">
        <f t="shared" si="28"/>
        <v>0</v>
      </c>
      <c r="AR123" s="363">
        <f t="shared" si="28"/>
        <v>0</v>
      </c>
      <c r="AS123" s="363">
        <f t="shared" si="28"/>
        <v>0</v>
      </c>
      <c r="AT123" s="363">
        <f t="shared" si="28"/>
        <v>0</v>
      </c>
      <c r="AU123" s="363">
        <f t="shared" si="28"/>
        <v>0</v>
      </c>
      <c r="AV123" s="363">
        <f t="shared" si="28"/>
        <v>0</v>
      </c>
    </row>
    <row r="124" spans="1:48" x14ac:dyDescent="0.25">
      <c r="A124" s="350" t="s">
        <v>1440</v>
      </c>
      <c r="B124" t="s">
        <v>229</v>
      </c>
      <c r="C124" t="s">
        <v>1532</v>
      </c>
      <c r="D124">
        <f t="shared" si="29"/>
        <v>0</v>
      </c>
      <c r="E124">
        <f t="shared" si="29"/>
        <v>0</v>
      </c>
      <c r="F124">
        <f t="shared" si="29"/>
        <v>0</v>
      </c>
      <c r="G124">
        <f t="shared" si="29"/>
        <v>0</v>
      </c>
      <c r="H124">
        <f t="shared" si="29"/>
        <v>0</v>
      </c>
      <c r="I124">
        <f t="shared" si="29"/>
        <v>0</v>
      </c>
      <c r="J124">
        <f t="shared" si="29"/>
        <v>0</v>
      </c>
      <c r="K124">
        <f t="shared" si="29"/>
        <v>0</v>
      </c>
      <c r="L124">
        <f t="shared" si="29"/>
        <v>0</v>
      </c>
      <c r="M124">
        <f t="shared" si="29"/>
        <v>0</v>
      </c>
      <c r="N124">
        <f t="shared" si="29"/>
        <v>0</v>
      </c>
      <c r="O124" s="363">
        <f t="shared" si="17"/>
        <v>0</v>
      </c>
      <c r="P124" s="363">
        <f t="shared" si="28"/>
        <v>0</v>
      </c>
      <c r="Q124" s="363">
        <f t="shared" si="28"/>
        <v>0</v>
      </c>
      <c r="R124" s="363">
        <f t="shared" si="28"/>
        <v>0</v>
      </c>
      <c r="S124" s="363">
        <f t="shared" si="28"/>
        <v>0</v>
      </c>
      <c r="T124" s="363">
        <f t="shared" si="28"/>
        <v>0</v>
      </c>
      <c r="U124" s="363">
        <f t="shared" si="28"/>
        <v>0</v>
      </c>
      <c r="V124" s="363">
        <f t="shared" si="28"/>
        <v>0</v>
      </c>
      <c r="W124" s="363">
        <f t="shared" si="28"/>
        <v>0</v>
      </c>
      <c r="X124" s="363">
        <f t="shared" si="28"/>
        <v>0</v>
      </c>
      <c r="Y124" s="363">
        <f t="shared" si="28"/>
        <v>0</v>
      </c>
      <c r="Z124" s="363">
        <f t="shared" si="28"/>
        <v>0</v>
      </c>
      <c r="AA124" s="363">
        <f t="shared" si="28"/>
        <v>0</v>
      </c>
      <c r="AB124" s="363">
        <f t="shared" si="28"/>
        <v>0</v>
      </c>
      <c r="AC124" s="363">
        <f t="shared" si="28"/>
        <v>0</v>
      </c>
      <c r="AD124" s="363">
        <f t="shared" si="28"/>
        <v>0</v>
      </c>
      <c r="AE124" s="363">
        <f t="shared" si="28"/>
        <v>0</v>
      </c>
      <c r="AF124" s="363">
        <f t="shared" si="28"/>
        <v>0</v>
      </c>
      <c r="AG124" s="363">
        <f t="shared" si="28"/>
        <v>0</v>
      </c>
      <c r="AH124" s="363">
        <f t="shared" si="28"/>
        <v>0</v>
      </c>
      <c r="AI124" s="363">
        <f t="shared" si="28"/>
        <v>0</v>
      </c>
      <c r="AJ124" s="363">
        <f t="shared" si="28"/>
        <v>0</v>
      </c>
      <c r="AK124" s="363">
        <f t="shared" si="28"/>
        <v>0</v>
      </c>
      <c r="AL124" s="363">
        <f t="shared" si="28"/>
        <v>0</v>
      </c>
      <c r="AM124" s="363">
        <f t="shared" si="28"/>
        <v>0</v>
      </c>
      <c r="AN124" s="363">
        <f t="shared" si="28"/>
        <v>0</v>
      </c>
      <c r="AO124" s="363">
        <f t="shared" si="28"/>
        <v>0</v>
      </c>
      <c r="AP124" s="363">
        <f t="shared" si="28"/>
        <v>0</v>
      </c>
      <c r="AQ124" s="363">
        <f t="shared" si="28"/>
        <v>0</v>
      </c>
      <c r="AR124" s="363">
        <f t="shared" si="28"/>
        <v>0</v>
      </c>
      <c r="AS124" s="363">
        <f t="shared" si="28"/>
        <v>0</v>
      </c>
      <c r="AT124" s="363">
        <f t="shared" si="28"/>
        <v>0</v>
      </c>
      <c r="AU124" s="363">
        <f t="shared" si="28"/>
        <v>0</v>
      </c>
      <c r="AV124" s="363">
        <f t="shared" si="28"/>
        <v>0</v>
      </c>
    </row>
    <row r="125" spans="1:48" x14ac:dyDescent="0.25">
      <c r="A125" s="351" t="s">
        <v>1725</v>
      </c>
      <c r="B125" t="s">
        <v>295</v>
      </c>
      <c r="C125" t="s">
        <v>1532</v>
      </c>
      <c r="D125">
        <f t="shared" si="29"/>
        <v>0</v>
      </c>
      <c r="E125">
        <f t="shared" si="29"/>
        <v>0</v>
      </c>
      <c r="F125">
        <f t="shared" si="29"/>
        <v>0</v>
      </c>
      <c r="G125">
        <f t="shared" si="29"/>
        <v>0</v>
      </c>
      <c r="H125">
        <f t="shared" si="29"/>
        <v>0</v>
      </c>
      <c r="I125">
        <f t="shared" si="29"/>
        <v>0</v>
      </c>
      <c r="J125">
        <f t="shared" si="29"/>
        <v>0</v>
      </c>
      <c r="K125">
        <f t="shared" si="29"/>
        <v>0</v>
      </c>
      <c r="L125">
        <f t="shared" si="29"/>
        <v>0</v>
      </c>
      <c r="M125">
        <f t="shared" si="29"/>
        <v>0</v>
      </c>
      <c r="N125">
        <f t="shared" si="29"/>
        <v>0</v>
      </c>
      <c r="O125" s="363">
        <f t="shared" si="17"/>
        <v>0</v>
      </c>
      <c r="P125" s="363">
        <f t="shared" si="28"/>
        <v>0</v>
      </c>
      <c r="Q125" s="363">
        <f t="shared" si="28"/>
        <v>0</v>
      </c>
      <c r="R125" s="363">
        <f t="shared" si="28"/>
        <v>0</v>
      </c>
      <c r="S125" s="363">
        <f t="shared" si="28"/>
        <v>0</v>
      </c>
      <c r="T125" s="363">
        <f t="shared" si="28"/>
        <v>0</v>
      </c>
      <c r="U125" s="363">
        <f t="shared" si="28"/>
        <v>0</v>
      </c>
      <c r="V125" s="363">
        <f t="shared" si="28"/>
        <v>0</v>
      </c>
      <c r="W125" s="363">
        <f t="shared" si="28"/>
        <v>0</v>
      </c>
      <c r="X125" s="363">
        <f t="shared" si="28"/>
        <v>0</v>
      </c>
      <c r="Y125" s="363">
        <f t="shared" si="28"/>
        <v>0</v>
      </c>
      <c r="Z125" s="363">
        <f t="shared" si="28"/>
        <v>0</v>
      </c>
      <c r="AA125" s="363">
        <f t="shared" si="28"/>
        <v>0</v>
      </c>
      <c r="AB125" s="363">
        <f t="shared" si="28"/>
        <v>0</v>
      </c>
      <c r="AC125" s="363">
        <f t="shared" si="28"/>
        <v>0</v>
      </c>
      <c r="AD125" s="363">
        <f t="shared" si="28"/>
        <v>0</v>
      </c>
      <c r="AE125" s="363">
        <f t="shared" si="28"/>
        <v>0</v>
      </c>
      <c r="AF125" s="363">
        <f t="shared" si="28"/>
        <v>0</v>
      </c>
      <c r="AG125" s="363">
        <f t="shared" si="28"/>
        <v>0</v>
      </c>
      <c r="AH125" s="363">
        <f t="shared" si="28"/>
        <v>0</v>
      </c>
      <c r="AI125" s="363">
        <f t="shared" si="28"/>
        <v>0</v>
      </c>
      <c r="AJ125" s="363">
        <f t="shared" si="28"/>
        <v>0</v>
      </c>
      <c r="AK125" s="363">
        <f t="shared" si="28"/>
        <v>0</v>
      </c>
      <c r="AL125" s="363">
        <f t="shared" si="28"/>
        <v>0</v>
      </c>
      <c r="AM125" s="363">
        <f t="shared" si="28"/>
        <v>0</v>
      </c>
      <c r="AN125" s="363">
        <f t="shared" si="28"/>
        <v>0</v>
      </c>
      <c r="AO125" s="363">
        <f t="shared" si="28"/>
        <v>0</v>
      </c>
      <c r="AP125" s="363">
        <f t="shared" si="28"/>
        <v>0</v>
      </c>
      <c r="AQ125" s="363">
        <f t="shared" si="28"/>
        <v>0</v>
      </c>
      <c r="AR125" s="363">
        <f t="shared" si="28"/>
        <v>0</v>
      </c>
      <c r="AS125" s="363">
        <f t="shared" si="28"/>
        <v>0</v>
      </c>
      <c r="AT125" s="363">
        <f t="shared" si="28"/>
        <v>0</v>
      </c>
      <c r="AU125" s="363">
        <f t="shared" si="28"/>
        <v>0</v>
      </c>
      <c r="AV125" s="363">
        <f t="shared" si="28"/>
        <v>0</v>
      </c>
    </row>
    <row r="126" spans="1:48" x14ac:dyDescent="0.25">
      <c r="A126" s="350" t="s">
        <v>1722</v>
      </c>
      <c r="B126" t="s">
        <v>295</v>
      </c>
      <c r="C126" t="s">
        <v>1532</v>
      </c>
      <c r="D126">
        <f t="shared" si="29"/>
        <v>0</v>
      </c>
      <c r="E126">
        <f t="shared" si="29"/>
        <v>0</v>
      </c>
      <c r="F126">
        <f t="shared" si="29"/>
        <v>0</v>
      </c>
      <c r="G126">
        <f t="shared" si="29"/>
        <v>0</v>
      </c>
      <c r="H126">
        <f t="shared" si="29"/>
        <v>0</v>
      </c>
      <c r="I126">
        <f t="shared" si="29"/>
        <v>0</v>
      </c>
      <c r="J126">
        <f t="shared" si="29"/>
        <v>0</v>
      </c>
      <c r="K126">
        <f t="shared" si="29"/>
        <v>0</v>
      </c>
      <c r="L126">
        <f t="shared" si="29"/>
        <v>0</v>
      </c>
      <c r="M126">
        <f t="shared" si="29"/>
        <v>0</v>
      </c>
      <c r="N126">
        <f t="shared" si="29"/>
        <v>0</v>
      </c>
      <c r="O126" s="363">
        <f t="shared" si="17"/>
        <v>0</v>
      </c>
      <c r="P126" s="363">
        <f t="shared" si="28"/>
        <v>0</v>
      </c>
      <c r="Q126" s="363">
        <f t="shared" si="28"/>
        <v>0</v>
      </c>
      <c r="R126" s="363">
        <f t="shared" si="28"/>
        <v>0</v>
      </c>
      <c r="S126" s="363">
        <f t="shared" si="28"/>
        <v>0</v>
      </c>
      <c r="T126" s="363">
        <f t="shared" si="28"/>
        <v>0</v>
      </c>
      <c r="U126" s="363">
        <f t="shared" si="28"/>
        <v>0</v>
      </c>
      <c r="V126" s="363">
        <f t="shared" si="28"/>
        <v>0</v>
      </c>
      <c r="W126" s="363">
        <f t="shared" si="28"/>
        <v>0</v>
      </c>
      <c r="X126" s="363">
        <f t="shared" si="28"/>
        <v>0</v>
      </c>
      <c r="Y126" s="363">
        <f t="shared" si="28"/>
        <v>0</v>
      </c>
      <c r="Z126" s="363">
        <f t="shared" si="28"/>
        <v>0</v>
      </c>
      <c r="AA126" s="363">
        <f t="shared" si="28"/>
        <v>0</v>
      </c>
      <c r="AB126" s="363">
        <f t="shared" si="28"/>
        <v>0</v>
      </c>
      <c r="AC126" s="363">
        <f t="shared" si="28"/>
        <v>0</v>
      </c>
      <c r="AD126" s="363">
        <f t="shared" si="28"/>
        <v>0</v>
      </c>
      <c r="AE126" s="363">
        <f t="shared" si="28"/>
        <v>0</v>
      </c>
      <c r="AF126" s="363">
        <f t="shared" si="28"/>
        <v>0</v>
      </c>
      <c r="AG126" s="363">
        <f t="shared" si="28"/>
        <v>0</v>
      </c>
      <c r="AH126" s="363">
        <f t="shared" si="28"/>
        <v>0</v>
      </c>
      <c r="AI126" s="363">
        <f t="shared" si="28"/>
        <v>0</v>
      </c>
      <c r="AJ126" s="363">
        <f t="shared" si="28"/>
        <v>0</v>
      </c>
      <c r="AK126" s="363">
        <f t="shared" si="28"/>
        <v>0</v>
      </c>
      <c r="AL126" s="363">
        <f t="shared" si="28"/>
        <v>0</v>
      </c>
      <c r="AM126" s="363">
        <f t="shared" si="28"/>
        <v>0</v>
      </c>
      <c r="AN126" s="363">
        <f t="shared" si="28"/>
        <v>0</v>
      </c>
      <c r="AO126" s="363">
        <f t="shared" si="28"/>
        <v>0</v>
      </c>
      <c r="AP126" s="363">
        <f t="shared" si="28"/>
        <v>0</v>
      </c>
      <c r="AQ126" s="363">
        <f t="shared" si="28"/>
        <v>0</v>
      </c>
      <c r="AR126" s="363">
        <f t="shared" si="28"/>
        <v>0</v>
      </c>
      <c r="AS126" s="363">
        <f t="shared" si="28"/>
        <v>0</v>
      </c>
      <c r="AT126" s="363">
        <f t="shared" si="28"/>
        <v>0</v>
      </c>
      <c r="AU126" s="363">
        <f t="shared" si="28"/>
        <v>0</v>
      </c>
      <c r="AV126" s="363">
        <f t="shared" si="28"/>
        <v>0</v>
      </c>
    </row>
    <row r="127" spans="1:48" x14ac:dyDescent="0.25">
      <c r="A127" s="350" t="s">
        <v>1443</v>
      </c>
      <c r="B127" t="s">
        <v>1461</v>
      </c>
      <c r="C127" t="s">
        <v>1532</v>
      </c>
      <c r="D127">
        <f t="shared" si="29"/>
        <v>0</v>
      </c>
      <c r="E127">
        <f t="shared" si="29"/>
        <v>0</v>
      </c>
      <c r="F127">
        <f t="shared" si="29"/>
        <v>0</v>
      </c>
      <c r="G127">
        <f t="shared" si="29"/>
        <v>0</v>
      </c>
      <c r="H127">
        <f t="shared" si="29"/>
        <v>0</v>
      </c>
      <c r="I127">
        <f t="shared" si="29"/>
        <v>0</v>
      </c>
      <c r="J127">
        <f t="shared" si="29"/>
        <v>0</v>
      </c>
      <c r="K127">
        <f t="shared" si="29"/>
        <v>0</v>
      </c>
      <c r="L127">
        <f t="shared" si="29"/>
        <v>0</v>
      </c>
      <c r="M127">
        <f t="shared" si="29"/>
        <v>0</v>
      </c>
      <c r="N127">
        <f t="shared" si="29"/>
        <v>0</v>
      </c>
      <c r="O127" s="363">
        <f t="shared" si="17"/>
        <v>0</v>
      </c>
      <c r="P127" s="363">
        <f t="shared" si="28"/>
        <v>0</v>
      </c>
      <c r="Q127" s="363">
        <f t="shared" si="28"/>
        <v>0</v>
      </c>
      <c r="R127" s="363">
        <f t="shared" si="28"/>
        <v>0</v>
      </c>
      <c r="S127" s="363">
        <f t="shared" si="28"/>
        <v>0</v>
      </c>
      <c r="T127" s="363">
        <f t="shared" si="28"/>
        <v>0</v>
      </c>
      <c r="U127" s="363">
        <f t="shared" si="28"/>
        <v>0</v>
      </c>
      <c r="V127" s="363">
        <f t="shared" si="28"/>
        <v>0</v>
      </c>
      <c r="W127" s="363">
        <f t="shared" si="28"/>
        <v>0</v>
      </c>
      <c r="X127" s="363">
        <f t="shared" si="28"/>
        <v>0</v>
      </c>
      <c r="Y127" s="363">
        <f t="shared" si="28"/>
        <v>0</v>
      </c>
      <c r="Z127" s="363">
        <f t="shared" si="28"/>
        <v>0</v>
      </c>
      <c r="AA127" s="363">
        <f t="shared" si="28"/>
        <v>0</v>
      </c>
      <c r="AB127" s="363">
        <f t="shared" si="28"/>
        <v>0</v>
      </c>
      <c r="AC127" s="363">
        <f t="shared" si="28"/>
        <v>0</v>
      </c>
      <c r="AD127" s="363">
        <f t="shared" si="28"/>
        <v>0</v>
      </c>
      <c r="AE127" s="363">
        <f t="shared" si="28"/>
        <v>0</v>
      </c>
      <c r="AF127" s="363">
        <f t="shared" si="28"/>
        <v>0</v>
      </c>
      <c r="AG127" s="363">
        <f t="shared" si="28"/>
        <v>0</v>
      </c>
      <c r="AH127" s="363">
        <f t="shared" si="28"/>
        <v>0</v>
      </c>
      <c r="AI127" s="363">
        <f t="shared" si="28"/>
        <v>0</v>
      </c>
      <c r="AJ127" s="363">
        <f t="shared" si="28"/>
        <v>0</v>
      </c>
      <c r="AK127" s="363">
        <f t="shared" si="28"/>
        <v>0</v>
      </c>
      <c r="AL127" s="363">
        <f t="shared" si="28"/>
        <v>0</v>
      </c>
      <c r="AM127" s="363">
        <f t="shared" si="28"/>
        <v>0</v>
      </c>
      <c r="AN127" s="363">
        <f t="shared" si="28"/>
        <v>0</v>
      </c>
      <c r="AO127" s="363">
        <f t="shared" si="28"/>
        <v>0</v>
      </c>
      <c r="AP127" s="363">
        <f t="shared" si="28"/>
        <v>0</v>
      </c>
      <c r="AQ127" s="363">
        <f t="shared" si="28"/>
        <v>0</v>
      </c>
      <c r="AR127" s="363">
        <f t="shared" si="28"/>
        <v>0</v>
      </c>
      <c r="AS127" s="363">
        <f t="shared" si="28"/>
        <v>0</v>
      </c>
      <c r="AT127" s="363">
        <f t="shared" si="28"/>
        <v>0</v>
      </c>
      <c r="AU127" s="363">
        <f t="shared" si="28"/>
        <v>0</v>
      </c>
      <c r="AV127" s="363">
        <f t="shared" si="28"/>
        <v>0</v>
      </c>
    </row>
    <row r="128" spans="1:48" x14ac:dyDescent="0.25">
      <c r="A128" s="350" t="s">
        <v>1444</v>
      </c>
      <c r="B128" t="s">
        <v>1461</v>
      </c>
      <c r="C128" t="s">
        <v>1532</v>
      </c>
      <c r="D128">
        <f t="shared" si="29"/>
        <v>0</v>
      </c>
      <c r="E128">
        <f t="shared" si="29"/>
        <v>0</v>
      </c>
      <c r="F128">
        <f t="shared" si="29"/>
        <v>0</v>
      </c>
      <c r="G128">
        <f t="shared" si="29"/>
        <v>0</v>
      </c>
      <c r="H128">
        <f t="shared" si="29"/>
        <v>0</v>
      </c>
      <c r="I128">
        <f t="shared" si="29"/>
        <v>0</v>
      </c>
      <c r="J128">
        <f t="shared" si="29"/>
        <v>0</v>
      </c>
      <c r="K128">
        <f t="shared" si="29"/>
        <v>0</v>
      </c>
      <c r="L128">
        <f t="shared" si="29"/>
        <v>0</v>
      </c>
      <c r="M128">
        <f t="shared" si="29"/>
        <v>0</v>
      </c>
      <c r="N128">
        <f t="shared" si="29"/>
        <v>0</v>
      </c>
      <c r="O128" s="363">
        <f t="shared" si="17"/>
        <v>0</v>
      </c>
      <c r="P128" s="363">
        <f t="shared" si="28"/>
        <v>0</v>
      </c>
      <c r="Q128" s="363">
        <f t="shared" si="28"/>
        <v>0</v>
      </c>
      <c r="R128" s="363">
        <f t="shared" si="28"/>
        <v>0</v>
      </c>
      <c r="S128" s="363">
        <f t="shared" si="28"/>
        <v>0</v>
      </c>
      <c r="T128" s="363">
        <f t="shared" si="28"/>
        <v>0</v>
      </c>
      <c r="U128" s="363">
        <f t="shared" si="28"/>
        <v>0</v>
      </c>
      <c r="V128" s="363">
        <f t="shared" si="28"/>
        <v>0</v>
      </c>
      <c r="W128" s="363">
        <f t="shared" si="28"/>
        <v>0</v>
      </c>
      <c r="X128" s="363">
        <f t="shared" si="28"/>
        <v>0</v>
      </c>
      <c r="Y128" s="363">
        <f t="shared" si="28"/>
        <v>0</v>
      </c>
      <c r="Z128" s="363">
        <f t="shared" si="28"/>
        <v>0</v>
      </c>
      <c r="AA128" s="363">
        <f t="shared" si="28"/>
        <v>0</v>
      </c>
      <c r="AB128" s="363">
        <f t="shared" si="28"/>
        <v>0</v>
      </c>
      <c r="AC128" s="363">
        <f t="shared" si="28"/>
        <v>0</v>
      </c>
      <c r="AD128" s="363">
        <f t="shared" si="28"/>
        <v>0</v>
      </c>
      <c r="AE128" s="363">
        <f t="shared" si="28"/>
        <v>0</v>
      </c>
      <c r="AF128" s="363">
        <f t="shared" si="28"/>
        <v>0</v>
      </c>
      <c r="AG128" s="363">
        <f t="shared" si="28"/>
        <v>0</v>
      </c>
      <c r="AH128" s="363">
        <f t="shared" si="28"/>
        <v>0</v>
      </c>
      <c r="AI128" s="363">
        <f t="shared" si="28"/>
        <v>0</v>
      </c>
      <c r="AJ128" s="363">
        <f t="shared" si="28"/>
        <v>0</v>
      </c>
      <c r="AK128" s="363">
        <f t="shared" si="28"/>
        <v>0</v>
      </c>
      <c r="AL128" s="363">
        <f t="shared" si="28"/>
        <v>0</v>
      </c>
      <c r="AM128" s="363">
        <f t="shared" si="28"/>
        <v>0</v>
      </c>
      <c r="AN128" s="363">
        <f t="shared" si="28"/>
        <v>0</v>
      </c>
      <c r="AO128" s="363">
        <f t="shared" si="28"/>
        <v>0</v>
      </c>
      <c r="AP128" s="363">
        <f t="shared" si="28"/>
        <v>0</v>
      </c>
      <c r="AQ128" s="363">
        <f t="shared" si="28"/>
        <v>0</v>
      </c>
      <c r="AR128" s="363">
        <f t="shared" si="28"/>
        <v>0</v>
      </c>
      <c r="AS128" s="363">
        <f t="shared" si="28"/>
        <v>0</v>
      </c>
      <c r="AT128" s="363">
        <f t="shared" si="28"/>
        <v>0</v>
      </c>
      <c r="AU128" s="363">
        <f t="shared" si="28"/>
        <v>0</v>
      </c>
      <c r="AV128" s="363">
        <f t="shared" si="28"/>
        <v>0</v>
      </c>
    </row>
    <row r="129" spans="1:48" x14ac:dyDescent="0.25">
      <c r="A129" s="350" t="s">
        <v>1445</v>
      </c>
      <c r="B129" t="s">
        <v>229</v>
      </c>
      <c r="C129" t="s">
        <v>1532</v>
      </c>
      <c r="D129">
        <f t="shared" si="29"/>
        <v>0</v>
      </c>
      <c r="E129">
        <f t="shared" si="29"/>
        <v>0</v>
      </c>
      <c r="F129">
        <f t="shared" si="29"/>
        <v>0</v>
      </c>
      <c r="G129">
        <f t="shared" si="29"/>
        <v>0</v>
      </c>
      <c r="H129">
        <f t="shared" si="29"/>
        <v>0</v>
      </c>
      <c r="I129">
        <f t="shared" si="29"/>
        <v>0</v>
      </c>
      <c r="J129">
        <f t="shared" si="29"/>
        <v>0</v>
      </c>
      <c r="K129">
        <f t="shared" si="29"/>
        <v>0</v>
      </c>
      <c r="L129">
        <f t="shared" si="29"/>
        <v>0</v>
      </c>
      <c r="M129">
        <f t="shared" si="29"/>
        <v>0</v>
      </c>
      <c r="N129">
        <f t="shared" si="29"/>
        <v>0</v>
      </c>
      <c r="O129" s="363">
        <f t="shared" si="17"/>
        <v>0</v>
      </c>
      <c r="P129" s="363">
        <f t="shared" si="28"/>
        <v>0</v>
      </c>
      <c r="Q129" s="363">
        <f t="shared" si="28"/>
        <v>0</v>
      </c>
      <c r="R129" s="363">
        <f t="shared" si="28"/>
        <v>0</v>
      </c>
      <c r="S129" s="363">
        <f t="shared" si="28"/>
        <v>0</v>
      </c>
      <c r="T129" s="363">
        <f t="shared" si="28"/>
        <v>0</v>
      </c>
      <c r="U129" s="363">
        <f t="shared" si="28"/>
        <v>0</v>
      </c>
      <c r="V129" s="363">
        <f t="shared" si="28"/>
        <v>0</v>
      </c>
      <c r="W129" s="363">
        <f t="shared" si="28"/>
        <v>0</v>
      </c>
      <c r="X129" s="363">
        <f t="shared" si="28"/>
        <v>0</v>
      </c>
      <c r="Y129" s="363">
        <f t="shared" ref="P129:AV137" si="30">IFERROR(IF($N129-$D129&gt;=0,($N129-$D129)/COUNT($E$1:$N$1)+X129,$F483*$E483^Y$1),0)</f>
        <v>0</v>
      </c>
      <c r="Z129" s="363">
        <f t="shared" si="30"/>
        <v>0</v>
      </c>
      <c r="AA129" s="363">
        <f t="shared" si="30"/>
        <v>0</v>
      </c>
      <c r="AB129" s="363">
        <f t="shared" si="30"/>
        <v>0</v>
      </c>
      <c r="AC129" s="363">
        <f t="shared" si="30"/>
        <v>0</v>
      </c>
      <c r="AD129" s="363">
        <f t="shared" si="30"/>
        <v>0</v>
      </c>
      <c r="AE129" s="363">
        <f t="shared" si="30"/>
        <v>0</v>
      </c>
      <c r="AF129" s="363">
        <f t="shared" si="30"/>
        <v>0</v>
      </c>
      <c r="AG129" s="363">
        <f t="shared" si="30"/>
        <v>0</v>
      </c>
      <c r="AH129" s="363">
        <f t="shared" si="30"/>
        <v>0</v>
      </c>
      <c r="AI129" s="363">
        <f t="shared" si="30"/>
        <v>0</v>
      </c>
      <c r="AJ129" s="363">
        <f t="shared" si="30"/>
        <v>0</v>
      </c>
      <c r="AK129" s="363">
        <f t="shared" si="30"/>
        <v>0</v>
      </c>
      <c r="AL129" s="363">
        <f t="shared" si="30"/>
        <v>0</v>
      </c>
      <c r="AM129" s="363">
        <f t="shared" si="30"/>
        <v>0</v>
      </c>
      <c r="AN129" s="363">
        <f t="shared" si="30"/>
        <v>0</v>
      </c>
      <c r="AO129" s="363">
        <f t="shared" si="30"/>
        <v>0</v>
      </c>
      <c r="AP129" s="363">
        <f t="shared" si="30"/>
        <v>0</v>
      </c>
      <c r="AQ129" s="363">
        <f t="shared" si="30"/>
        <v>0</v>
      </c>
      <c r="AR129" s="363">
        <f t="shared" si="30"/>
        <v>0</v>
      </c>
      <c r="AS129" s="363">
        <f t="shared" si="30"/>
        <v>0</v>
      </c>
      <c r="AT129" s="363">
        <f t="shared" si="30"/>
        <v>0</v>
      </c>
      <c r="AU129" s="363">
        <f t="shared" si="30"/>
        <v>0</v>
      </c>
      <c r="AV129" s="363">
        <f t="shared" si="30"/>
        <v>0</v>
      </c>
    </row>
    <row r="130" spans="1:48" x14ac:dyDescent="0.25">
      <c r="A130" s="351" t="s">
        <v>1724</v>
      </c>
      <c r="B130" t="s">
        <v>295</v>
      </c>
      <c r="C130" t="s">
        <v>1532</v>
      </c>
      <c r="D130">
        <f t="shared" si="29"/>
        <v>0</v>
      </c>
      <c r="E130">
        <f t="shared" si="29"/>
        <v>0</v>
      </c>
      <c r="F130">
        <f t="shared" si="29"/>
        <v>0</v>
      </c>
      <c r="G130">
        <f t="shared" si="29"/>
        <v>0</v>
      </c>
      <c r="H130">
        <f t="shared" si="29"/>
        <v>0</v>
      </c>
      <c r="I130">
        <f t="shared" si="29"/>
        <v>0</v>
      </c>
      <c r="J130">
        <f t="shared" si="29"/>
        <v>0</v>
      </c>
      <c r="K130">
        <f t="shared" si="29"/>
        <v>0</v>
      </c>
      <c r="L130">
        <f t="shared" si="29"/>
        <v>0</v>
      </c>
      <c r="M130">
        <f t="shared" si="29"/>
        <v>0</v>
      </c>
      <c r="N130">
        <f t="shared" si="29"/>
        <v>0</v>
      </c>
      <c r="O130" s="363">
        <f t="shared" si="17"/>
        <v>0</v>
      </c>
      <c r="P130" s="363">
        <f t="shared" si="30"/>
        <v>0</v>
      </c>
      <c r="Q130" s="363">
        <f t="shared" si="30"/>
        <v>0</v>
      </c>
      <c r="R130" s="363">
        <f t="shared" si="30"/>
        <v>0</v>
      </c>
      <c r="S130" s="363">
        <f t="shared" si="30"/>
        <v>0</v>
      </c>
      <c r="T130" s="363">
        <f t="shared" si="30"/>
        <v>0</v>
      </c>
      <c r="U130" s="363">
        <f t="shared" si="30"/>
        <v>0</v>
      </c>
      <c r="V130" s="363">
        <f t="shared" si="30"/>
        <v>0</v>
      </c>
      <c r="W130" s="363">
        <f t="shared" si="30"/>
        <v>0</v>
      </c>
      <c r="X130" s="363">
        <f t="shared" si="30"/>
        <v>0</v>
      </c>
      <c r="Y130" s="363">
        <f t="shared" si="30"/>
        <v>0</v>
      </c>
      <c r="Z130" s="363">
        <f t="shared" si="30"/>
        <v>0</v>
      </c>
      <c r="AA130" s="363">
        <f t="shared" si="30"/>
        <v>0</v>
      </c>
      <c r="AB130" s="363">
        <f t="shared" si="30"/>
        <v>0</v>
      </c>
      <c r="AC130" s="363">
        <f t="shared" si="30"/>
        <v>0</v>
      </c>
      <c r="AD130" s="363">
        <f t="shared" si="30"/>
        <v>0</v>
      </c>
      <c r="AE130" s="363">
        <f t="shared" si="30"/>
        <v>0</v>
      </c>
      <c r="AF130" s="363">
        <f t="shared" si="30"/>
        <v>0</v>
      </c>
      <c r="AG130" s="363">
        <f t="shared" si="30"/>
        <v>0</v>
      </c>
      <c r="AH130" s="363">
        <f t="shared" si="30"/>
        <v>0</v>
      </c>
      <c r="AI130" s="363">
        <f t="shared" si="30"/>
        <v>0</v>
      </c>
      <c r="AJ130" s="363">
        <f t="shared" si="30"/>
        <v>0</v>
      </c>
      <c r="AK130" s="363">
        <f t="shared" si="30"/>
        <v>0</v>
      </c>
      <c r="AL130" s="363">
        <f t="shared" si="30"/>
        <v>0</v>
      </c>
      <c r="AM130" s="363">
        <f t="shared" si="30"/>
        <v>0</v>
      </c>
      <c r="AN130" s="363">
        <f t="shared" si="30"/>
        <v>0</v>
      </c>
      <c r="AO130" s="363">
        <f t="shared" si="30"/>
        <v>0</v>
      </c>
      <c r="AP130" s="363">
        <f t="shared" si="30"/>
        <v>0</v>
      </c>
      <c r="AQ130" s="363">
        <f t="shared" si="30"/>
        <v>0</v>
      </c>
      <c r="AR130" s="363">
        <f t="shared" si="30"/>
        <v>0</v>
      </c>
      <c r="AS130" s="363">
        <f t="shared" si="30"/>
        <v>0</v>
      </c>
      <c r="AT130" s="363">
        <f t="shared" si="30"/>
        <v>0</v>
      </c>
      <c r="AU130" s="363">
        <f t="shared" si="30"/>
        <v>0</v>
      </c>
      <c r="AV130" s="363">
        <f t="shared" si="30"/>
        <v>0</v>
      </c>
    </row>
    <row r="131" spans="1:48" x14ac:dyDescent="0.25">
      <c r="A131" s="350" t="s">
        <v>1447</v>
      </c>
      <c r="B131" t="s">
        <v>229</v>
      </c>
      <c r="C131" t="s">
        <v>1532</v>
      </c>
      <c r="D131">
        <f t="shared" si="29"/>
        <v>0</v>
      </c>
      <c r="E131">
        <f t="shared" si="29"/>
        <v>0</v>
      </c>
      <c r="F131">
        <f t="shared" si="29"/>
        <v>0</v>
      </c>
      <c r="G131">
        <f t="shared" si="29"/>
        <v>0</v>
      </c>
      <c r="H131">
        <f t="shared" si="29"/>
        <v>0</v>
      </c>
      <c r="I131">
        <f t="shared" si="29"/>
        <v>0</v>
      </c>
      <c r="J131">
        <f t="shared" si="29"/>
        <v>0</v>
      </c>
      <c r="K131">
        <f t="shared" si="29"/>
        <v>0</v>
      </c>
      <c r="L131">
        <f t="shared" si="29"/>
        <v>0</v>
      </c>
      <c r="M131">
        <f t="shared" si="29"/>
        <v>0</v>
      </c>
      <c r="N131">
        <f t="shared" si="29"/>
        <v>0</v>
      </c>
      <c r="O131" s="363">
        <f t="shared" ref="O131:AD168" si="31">IFERROR(IF($N131-$D131&gt;=0,($N131-$D131)/COUNT($E$1:$N$1)+N131,$F485*$E485^O$1),0)</f>
        <v>0</v>
      </c>
      <c r="P131" s="363">
        <f t="shared" si="31"/>
        <v>0</v>
      </c>
      <c r="Q131" s="363">
        <f t="shared" si="31"/>
        <v>0</v>
      </c>
      <c r="R131" s="363">
        <f t="shared" si="31"/>
        <v>0</v>
      </c>
      <c r="S131" s="363">
        <f t="shared" si="31"/>
        <v>0</v>
      </c>
      <c r="T131" s="363">
        <f t="shared" si="31"/>
        <v>0</v>
      </c>
      <c r="U131" s="363">
        <f t="shared" si="31"/>
        <v>0</v>
      </c>
      <c r="V131" s="363">
        <f t="shared" si="31"/>
        <v>0</v>
      </c>
      <c r="W131" s="363">
        <f t="shared" si="31"/>
        <v>0</v>
      </c>
      <c r="X131" s="363">
        <f t="shared" si="31"/>
        <v>0</v>
      </c>
      <c r="Y131" s="363">
        <f t="shared" si="31"/>
        <v>0</v>
      </c>
      <c r="Z131" s="363">
        <f t="shared" si="31"/>
        <v>0</v>
      </c>
      <c r="AA131" s="363">
        <f t="shared" si="31"/>
        <v>0</v>
      </c>
      <c r="AB131" s="363">
        <f t="shared" si="31"/>
        <v>0</v>
      </c>
      <c r="AC131" s="363">
        <f t="shared" si="31"/>
        <v>0</v>
      </c>
      <c r="AD131" s="363">
        <f t="shared" si="31"/>
        <v>0</v>
      </c>
      <c r="AE131" s="363">
        <f t="shared" si="30"/>
        <v>0</v>
      </c>
      <c r="AF131" s="363">
        <f t="shared" si="30"/>
        <v>0</v>
      </c>
      <c r="AG131" s="363">
        <f t="shared" si="30"/>
        <v>0</v>
      </c>
      <c r="AH131" s="363">
        <f t="shared" si="30"/>
        <v>0</v>
      </c>
      <c r="AI131" s="363">
        <f t="shared" si="30"/>
        <v>0</v>
      </c>
      <c r="AJ131" s="363">
        <f t="shared" si="30"/>
        <v>0</v>
      </c>
      <c r="AK131" s="363">
        <f t="shared" si="30"/>
        <v>0</v>
      </c>
      <c r="AL131" s="363">
        <f t="shared" si="30"/>
        <v>0</v>
      </c>
      <c r="AM131" s="363">
        <f t="shared" si="30"/>
        <v>0</v>
      </c>
      <c r="AN131" s="363">
        <f t="shared" si="30"/>
        <v>0</v>
      </c>
      <c r="AO131" s="363">
        <f t="shared" si="30"/>
        <v>0</v>
      </c>
      <c r="AP131" s="363">
        <f t="shared" si="30"/>
        <v>0</v>
      </c>
      <c r="AQ131" s="363">
        <f t="shared" si="30"/>
        <v>0</v>
      </c>
      <c r="AR131" s="363">
        <f t="shared" si="30"/>
        <v>0</v>
      </c>
      <c r="AS131" s="363">
        <f t="shared" si="30"/>
        <v>0</v>
      </c>
      <c r="AT131" s="363">
        <f t="shared" si="30"/>
        <v>0</v>
      </c>
      <c r="AU131" s="363">
        <f t="shared" si="30"/>
        <v>0</v>
      </c>
      <c r="AV131" s="363">
        <f t="shared" si="30"/>
        <v>0</v>
      </c>
    </row>
    <row r="132" spans="1:48" x14ac:dyDescent="0.25">
      <c r="A132" s="350" t="s">
        <v>1448</v>
      </c>
      <c r="B132" t="s">
        <v>228</v>
      </c>
      <c r="C132" t="s">
        <v>1532</v>
      </c>
      <c r="D132">
        <f t="shared" si="29"/>
        <v>0</v>
      </c>
      <c r="E132">
        <f t="shared" si="29"/>
        <v>0</v>
      </c>
      <c r="F132">
        <f t="shared" si="29"/>
        <v>0</v>
      </c>
      <c r="G132">
        <f t="shared" si="29"/>
        <v>0</v>
      </c>
      <c r="H132">
        <f t="shared" si="29"/>
        <v>0</v>
      </c>
      <c r="I132">
        <f t="shared" si="29"/>
        <v>0</v>
      </c>
      <c r="J132">
        <f t="shared" si="29"/>
        <v>0</v>
      </c>
      <c r="K132">
        <f t="shared" si="29"/>
        <v>0</v>
      </c>
      <c r="L132">
        <f t="shared" si="29"/>
        <v>0</v>
      </c>
      <c r="M132">
        <f t="shared" si="29"/>
        <v>0</v>
      </c>
      <c r="N132">
        <f t="shared" si="29"/>
        <v>0</v>
      </c>
      <c r="O132" s="363">
        <f t="shared" si="31"/>
        <v>0</v>
      </c>
      <c r="P132" s="363">
        <f t="shared" si="30"/>
        <v>0</v>
      </c>
      <c r="Q132" s="363">
        <f t="shared" si="30"/>
        <v>0</v>
      </c>
      <c r="R132" s="363">
        <f t="shared" si="30"/>
        <v>0</v>
      </c>
      <c r="S132" s="363">
        <f t="shared" si="30"/>
        <v>0</v>
      </c>
      <c r="T132" s="363">
        <f t="shared" si="30"/>
        <v>0</v>
      </c>
      <c r="U132" s="363">
        <f t="shared" si="30"/>
        <v>0</v>
      </c>
      <c r="V132" s="363">
        <f t="shared" si="30"/>
        <v>0</v>
      </c>
      <c r="W132" s="363">
        <f t="shared" si="30"/>
        <v>0</v>
      </c>
      <c r="X132" s="363">
        <f t="shared" si="30"/>
        <v>0</v>
      </c>
      <c r="Y132" s="363">
        <f t="shared" si="30"/>
        <v>0</v>
      </c>
      <c r="Z132" s="363">
        <f t="shared" si="30"/>
        <v>0</v>
      </c>
      <c r="AA132" s="363">
        <f t="shared" si="30"/>
        <v>0</v>
      </c>
      <c r="AB132" s="363">
        <f t="shared" si="30"/>
        <v>0</v>
      </c>
      <c r="AC132" s="363">
        <f t="shared" si="30"/>
        <v>0</v>
      </c>
      <c r="AD132" s="363">
        <f t="shared" si="30"/>
        <v>0</v>
      </c>
      <c r="AE132" s="363">
        <f t="shared" si="30"/>
        <v>0</v>
      </c>
      <c r="AF132" s="363">
        <f t="shared" si="30"/>
        <v>0</v>
      </c>
      <c r="AG132" s="363">
        <f t="shared" si="30"/>
        <v>0</v>
      </c>
      <c r="AH132" s="363">
        <f t="shared" si="30"/>
        <v>0</v>
      </c>
      <c r="AI132" s="363">
        <f t="shared" si="30"/>
        <v>0</v>
      </c>
      <c r="AJ132" s="363">
        <f t="shared" si="30"/>
        <v>0</v>
      </c>
      <c r="AK132" s="363">
        <f t="shared" si="30"/>
        <v>0</v>
      </c>
      <c r="AL132" s="363">
        <f t="shared" si="30"/>
        <v>0</v>
      </c>
      <c r="AM132" s="363">
        <f t="shared" si="30"/>
        <v>0</v>
      </c>
      <c r="AN132" s="363">
        <f t="shared" si="30"/>
        <v>0</v>
      </c>
      <c r="AO132" s="363">
        <f t="shared" si="30"/>
        <v>0</v>
      </c>
      <c r="AP132" s="363">
        <f t="shared" si="30"/>
        <v>0</v>
      </c>
      <c r="AQ132" s="363">
        <f t="shared" si="30"/>
        <v>0</v>
      </c>
      <c r="AR132" s="363">
        <f t="shared" si="30"/>
        <v>0</v>
      </c>
      <c r="AS132" s="363">
        <f t="shared" si="30"/>
        <v>0</v>
      </c>
      <c r="AT132" s="363">
        <f t="shared" si="30"/>
        <v>0</v>
      </c>
      <c r="AU132" s="363">
        <f t="shared" si="30"/>
        <v>0</v>
      </c>
      <c r="AV132" s="363">
        <f t="shared" si="30"/>
        <v>0</v>
      </c>
    </row>
    <row r="133" spans="1:48" x14ac:dyDescent="0.25">
      <c r="A133" s="350" t="s">
        <v>1449</v>
      </c>
      <c r="B133" t="s">
        <v>295</v>
      </c>
      <c r="C133" t="s">
        <v>1532</v>
      </c>
      <c r="D133">
        <f t="shared" ref="D133:N145" si="32">IFERROR(INDEX($B$255:$AB$257,MATCH($A133,$A$255:$A$257,0),MATCH(D$1,$B$176:$AB$176,0)),0)</f>
        <v>0</v>
      </c>
      <c r="E133">
        <f t="shared" si="32"/>
        <v>0</v>
      </c>
      <c r="F133">
        <f t="shared" si="32"/>
        <v>0</v>
      </c>
      <c r="G133">
        <f t="shared" si="32"/>
        <v>0</v>
      </c>
      <c r="H133">
        <f t="shared" si="32"/>
        <v>0</v>
      </c>
      <c r="I133">
        <f t="shared" si="32"/>
        <v>0</v>
      </c>
      <c r="J133">
        <f t="shared" si="32"/>
        <v>0</v>
      </c>
      <c r="K133">
        <f t="shared" si="32"/>
        <v>0</v>
      </c>
      <c r="L133">
        <f t="shared" si="32"/>
        <v>0</v>
      </c>
      <c r="M133">
        <f t="shared" si="32"/>
        <v>0</v>
      </c>
      <c r="N133">
        <f t="shared" si="32"/>
        <v>0</v>
      </c>
      <c r="O133" s="363">
        <f t="shared" si="31"/>
        <v>0</v>
      </c>
      <c r="P133" s="363">
        <f t="shared" si="30"/>
        <v>0</v>
      </c>
      <c r="Q133" s="363">
        <f t="shared" si="30"/>
        <v>0</v>
      </c>
      <c r="R133" s="363">
        <f t="shared" si="30"/>
        <v>0</v>
      </c>
      <c r="S133" s="363">
        <f t="shared" si="30"/>
        <v>0</v>
      </c>
      <c r="T133" s="363">
        <f t="shared" si="30"/>
        <v>0</v>
      </c>
      <c r="U133" s="363">
        <f t="shared" si="30"/>
        <v>0</v>
      </c>
      <c r="V133" s="363">
        <f t="shared" si="30"/>
        <v>0</v>
      </c>
      <c r="W133" s="363">
        <f t="shared" si="30"/>
        <v>0</v>
      </c>
      <c r="X133" s="363">
        <f t="shared" si="30"/>
        <v>0</v>
      </c>
      <c r="Y133" s="363">
        <f t="shared" si="30"/>
        <v>0</v>
      </c>
      <c r="Z133" s="363">
        <f t="shared" si="30"/>
        <v>0</v>
      </c>
      <c r="AA133" s="363">
        <f t="shared" si="30"/>
        <v>0</v>
      </c>
      <c r="AB133" s="363">
        <f t="shared" si="30"/>
        <v>0</v>
      </c>
      <c r="AC133" s="363">
        <f t="shared" si="30"/>
        <v>0</v>
      </c>
      <c r="AD133" s="363">
        <f t="shared" si="30"/>
        <v>0</v>
      </c>
      <c r="AE133" s="363">
        <f t="shared" si="30"/>
        <v>0</v>
      </c>
      <c r="AF133" s="363">
        <f t="shared" si="30"/>
        <v>0</v>
      </c>
      <c r="AG133" s="363">
        <f t="shared" si="30"/>
        <v>0</v>
      </c>
      <c r="AH133" s="363">
        <f t="shared" si="30"/>
        <v>0</v>
      </c>
      <c r="AI133" s="363">
        <f t="shared" si="30"/>
        <v>0</v>
      </c>
      <c r="AJ133" s="363">
        <f t="shared" si="30"/>
        <v>0</v>
      </c>
      <c r="AK133" s="363">
        <f t="shared" si="30"/>
        <v>0</v>
      </c>
      <c r="AL133" s="363">
        <f t="shared" si="30"/>
        <v>0</v>
      </c>
      <c r="AM133" s="363">
        <f t="shared" si="30"/>
        <v>0</v>
      </c>
      <c r="AN133" s="363">
        <f t="shared" si="30"/>
        <v>0</v>
      </c>
      <c r="AO133" s="363">
        <f t="shared" si="30"/>
        <v>0</v>
      </c>
      <c r="AP133" s="363">
        <f t="shared" si="30"/>
        <v>0</v>
      </c>
      <c r="AQ133" s="363">
        <f t="shared" si="30"/>
        <v>0</v>
      </c>
      <c r="AR133" s="363">
        <f t="shared" si="30"/>
        <v>0</v>
      </c>
      <c r="AS133" s="363">
        <f t="shared" si="30"/>
        <v>0</v>
      </c>
      <c r="AT133" s="363">
        <f t="shared" si="30"/>
        <v>0</v>
      </c>
      <c r="AU133" s="363">
        <f t="shared" si="30"/>
        <v>0</v>
      </c>
      <c r="AV133" s="363">
        <f t="shared" si="30"/>
        <v>0</v>
      </c>
    </row>
    <row r="134" spans="1:48" x14ac:dyDescent="0.25">
      <c r="A134" s="350" t="s">
        <v>1450</v>
      </c>
      <c r="B134" t="s">
        <v>295</v>
      </c>
      <c r="C134" t="s">
        <v>1532</v>
      </c>
      <c r="D134">
        <f t="shared" si="32"/>
        <v>0</v>
      </c>
      <c r="E134">
        <f t="shared" si="32"/>
        <v>0</v>
      </c>
      <c r="F134">
        <f t="shared" si="32"/>
        <v>0</v>
      </c>
      <c r="G134">
        <f t="shared" si="32"/>
        <v>0</v>
      </c>
      <c r="H134">
        <f t="shared" si="32"/>
        <v>0</v>
      </c>
      <c r="I134">
        <f t="shared" si="32"/>
        <v>0</v>
      </c>
      <c r="J134">
        <f t="shared" si="32"/>
        <v>0</v>
      </c>
      <c r="K134">
        <f t="shared" si="32"/>
        <v>0</v>
      </c>
      <c r="L134">
        <f t="shared" si="32"/>
        <v>0</v>
      </c>
      <c r="M134">
        <f t="shared" si="32"/>
        <v>0</v>
      </c>
      <c r="N134">
        <f t="shared" si="32"/>
        <v>0</v>
      </c>
      <c r="O134" s="363">
        <f t="shared" si="31"/>
        <v>0</v>
      </c>
      <c r="P134" s="363">
        <f t="shared" si="30"/>
        <v>0</v>
      </c>
      <c r="Q134" s="363">
        <f t="shared" si="30"/>
        <v>0</v>
      </c>
      <c r="R134" s="363">
        <f t="shared" si="30"/>
        <v>0</v>
      </c>
      <c r="S134" s="363">
        <f t="shared" si="30"/>
        <v>0</v>
      </c>
      <c r="T134" s="363">
        <f t="shared" si="30"/>
        <v>0</v>
      </c>
      <c r="U134" s="363">
        <f t="shared" si="30"/>
        <v>0</v>
      </c>
      <c r="V134" s="363">
        <f t="shared" si="30"/>
        <v>0</v>
      </c>
      <c r="W134" s="363">
        <f t="shared" si="30"/>
        <v>0</v>
      </c>
      <c r="X134" s="363">
        <f t="shared" si="30"/>
        <v>0</v>
      </c>
      <c r="Y134" s="363">
        <f t="shared" si="30"/>
        <v>0</v>
      </c>
      <c r="Z134" s="363">
        <f t="shared" si="30"/>
        <v>0</v>
      </c>
      <c r="AA134" s="363">
        <f t="shared" si="30"/>
        <v>0</v>
      </c>
      <c r="AB134" s="363">
        <f t="shared" si="30"/>
        <v>0</v>
      </c>
      <c r="AC134" s="363">
        <f t="shared" si="30"/>
        <v>0</v>
      </c>
      <c r="AD134" s="363">
        <f t="shared" si="30"/>
        <v>0</v>
      </c>
      <c r="AE134" s="363">
        <f t="shared" si="30"/>
        <v>0</v>
      </c>
      <c r="AF134" s="363">
        <f t="shared" si="30"/>
        <v>0</v>
      </c>
      <c r="AG134" s="363">
        <f t="shared" si="30"/>
        <v>0</v>
      </c>
      <c r="AH134" s="363">
        <f t="shared" si="30"/>
        <v>0</v>
      </c>
      <c r="AI134" s="363">
        <f t="shared" si="30"/>
        <v>0</v>
      </c>
      <c r="AJ134" s="363">
        <f t="shared" si="30"/>
        <v>0</v>
      </c>
      <c r="AK134" s="363">
        <f t="shared" si="30"/>
        <v>0</v>
      </c>
      <c r="AL134" s="363">
        <f t="shared" si="30"/>
        <v>0</v>
      </c>
      <c r="AM134" s="363">
        <f t="shared" si="30"/>
        <v>0</v>
      </c>
      <c r="AN134" s="363">
        <f t="shared" si="30"/>
        <v>0</v>
      </c>
      <c r="AO134" s="363">
        <f t="shared" si="30"/>
        <v>0</v>
      </c>
      <c r="AP134" s="363">
        <f t="shared" si="30"/>
        <v>0</v>
      </c>
      <c r="AQ134" s="363">
        <f t="shared" si="30"/>
        <v>0</v>
      </c>
      <c r="AR134" s="363">
        <f t="shared" si="30"/>
        <v>0</v>
      </c>
      <c r="AS134" s="363">
        <f t="shared" si="30"/>
        <v>0</v>
      </c>
      <c r="AT134" s="363">
        <f t="shared" si="30"/>
        <v>0</v>
      </c>
      <c r="AU134" s="363">
        <f t="shared" si="30"/>
        <v>0</v>
      </c>
      <c r="AV134" s="363">
        <f t="shared" si="30"/>
        <v>0</v>
      </c>
    </row>
    <row r="135" spans="1:48" x14ac:dyDescent="0.25">
      <c r="A135" s="350" t="s">
        <v>1451</v>
      </c>
      <c r="B135" t="s">
        <v>295</v>
      </c>
      <c r="C135" t="s">
        <v>1532</v>
      </c>
      <c r="D135">
        <f t="shared" si="32"/>
        <v>0</v>
      </c>
      <c r="E135">
        <f t="shared" si="32"/>
        <v>0</v>
      </c>
      <c r="F135">
        <f t="shared" si="32"/>
        <v>0</v>
      </c>
      <c r="G135">
        <f t="shared" si="32"/>
        <v>0</v>
      </c>
      <c r="H135">
        <f t="shared" si="32"/>
        <v>0</v>
      </c>
      <c r="I135">
        <f t="shared" si="32"/>
        <v>0</v>
      </c>
      <c r="J135">
        <f t="shared" si="32"/>
        <v>0</v>
      </c>
      <c r="K135">
        <f t="shared" si="32"/>
        <v>0</v>
      </c>
      <c r="L135">
        <f t="shared" si="32"/>
        <v>0</v>
      </c>
      <c r="M135">
        <f t="shared" si="32"/>
        <v>0</v>
      </c>
      <c r="N135">
        <f t="shared" si="32"/>
        <v>0</v>
      </c>
      <c r="O135" s="363">
        <f t="shared" si="31"/>
        <v>0</v>
      </c>
      <c r="P135" s="363">
        <f t="shared" si="30"/>
        <v>0</v>
      </c>
      <c r="Q135" s="363">
        <f t="shared" si="30"/>
        <v>0</v>
      </c>
      <c r="R135" s="363">
        <f t="shared" si="30"/>
        <v>0</v>
      </c>
      <c r="S135" s="363">
        <f t="shared" si="30"/>
        <v>0</v>
      </c>
      <c r="T135" s="363">
        <f t="shared" si="30"/>
        <v>0</v>
      </c>
      <c r="U135" s="363">
        <f t="shared" si="30"/>
        <v>0</v>
      </c>
      <c r="V135" s="363">
        <f t="shared" si="30"/>
        <v>0</v>
      </c>
      <c r="W135" s="363">
        <f t="shared" si="30"/>
        <v>0</v>
      </c>
      <c r="X135" s="363">
        <f t="shared" si="30"/>
        <v>0</v>
      </c>
      <c r="Y135" s="363">
        <f t="shared" si="30"/>
        <v>0</v>
      </c>
      <c r="Z135" s="363">
        <f t="shared" si="30"/>
        <v>0</v>
      </c>
      <c r="AA135" s="363">
        <f t="shared" si="30"/>
        <v>0</v>
      </c>
      <c r="AB135" s="363">
        <f t="shared" si="30"/>
        <v>0</v>
      </c>
      <c r="AC135" s="363">
        <f t="shared" si="30"/>
        <v>0</v>
      </c>
      <c r="AD135" s="363">
        <f t="shared" si="30"/>
        <v>0</v>
      </c>
      <c r="AE135" s="363">
        <f t="shared" si="30"/>
        <v>0</v>
      </c>
      <c r="AF135" s="363">
        <f t="shared" si="30"/>
        <v>0</v>
      </c>
      <c r="AG135" s="363">
        <f t="shared" si="30"/>
        <v>0</v>
      </c>
      <c r="AH135" s="363">
        <f t="shared" si="30"/>
        <v>0</v>
      </c>
      <c r="AI135" s="363">
        <f t="shared" si="30"/>
        <v>0</v>
      </c>
      <c r="AJ135" s="363">
        <f t="shared" si="30"/>
        <v>0</v>
      </c>
      <c r="AK135" s="363">
        <f t="shared" si="30"/>
        <v>0</v>
      </c>
      <c r="AL135" s="363">
        <f t="shared" si="30"/>
        <v>0</v>
      </c>
      <c r="AM135" s="363">
        <f t="shared" si="30"/>
        <v>0</v>
      </c>
      <c r="AN135" s="363">
        <f t="shared" si="30"/>
        <v>0</v>
      </c>
      <c r="AO135" s="363">
        <f t="shared" si="30"/>
        <v>0</v>
      </c>
      <c r="AP135" s="363">
        <f t="shared" si="30"/>
        <v>0</v>
      </c>
      <c r="AQ135" s="363">
        <f t="shared" si="30"/>
        <v>0</v>
      </c>
      <c r="AR135" s="363">
        <f t="shared" si="30"/>
        <v>0</v>
      </c>
      <c r="AS135" s="363">
        <f t="shared" si="30"/>
        <v>0</v>
      </c>
      <c r="AT135" s="363">
        <f t="shared" si="30"/>
        <v>0</v>
      </c>
      <c r="AU135" s="363">
        <f t="shared" si="30"/>
        <v>0</v>
      </c>
      <c r="AV135" s="363">
        <f t="shared" si="30"/>
        <v>0</v>
      </c>
    </row>
    <row r="136" spans="1:48" x14ac:dyDescent="0.25">
      <c r="A136" s="350" t="s">
        <v>1452</v>
      </c>
      <c r="B136" t="s">
        <v>229</v>
      </c>
      <c r="C136" t="s">
        <v>1532</v>
      </c>
      <c r="D136">
        <f t="shared" si="32"/>
        <v>0</v>
      </c>
      <c r="E136">
        <f t="shared" si="32"/>
        <v>0</v>
      </c>
      <c r="F136">
        <f t="shared" si="32"/>
        <v>0</v>
      </c>
      <c r="G136">
        <f t="shared" si="32"/>
        <v>0</v>
      </c>
      <c r="H136">
        <f t="shared" si="32"/>
        <v>0</v>
      </c>
      <c r="I136">
        <f t="shared" si="32"/>
        <v>0</v>
      </c>
      <c r="J136">
        <f t="shared" si="32"/>
        <v>0</v>
      </c>
      <c r="K136">
        <f t="shared" si="32"/>
        <v>0</v>
      </c>
      <c r="L136">
        <f t="shared" si="32"/>
        <v>0</v>
      </c>
      <c r="M136">
        <f t="shared" si="32"/>
        <v>0</v>
      </c>
      <c r="N136">
        <f t="shared" si="32"/>
        <v>0</v>
      </c>
      <c r="O136" s="363">
        <f t="shared" si="31"/>
        <v>0</v>
      </c>
      <c r="P136" s="363">
        <f t="shared" si="30"/>
        <v>0</v>
      </c>
      <c r="Q136" s="363">
        <f t="shared" si="30"/>
        <v>0</v>
      </c>
      <c r="R136" s="363">
        <f t="shared" si="30"/>
        <v>0</v>
      </c>
      <c r="S136" s="363">
        <f t="shared" si="30"/>
        <v>0</v>
      </c>
      <c r="T136" s="363">
        <f t="shared" si="30"/>
        <v>0</v>
      </c>
      <c r="U136" s="363">
        <f t="shared" si="30"/>
        <v>0</v>
      </c>
      <c r="V136" s="363">
        <f t="shared" si="30"/>
        <v>0</v>
      </c>
      <c r="W136" s="363">
        <f t="shared" si="30"/>
        <v>0</v>
      </c>
      <c r="X136" s="363">
        <f t="shared" si="30"/>
        <v>0</v>
      </c>
      <c r="Y136" s="363">
        <f t="shared" si="30"/>
        <v>0</v>
      </c>
      <c r="Z136" s="363">
        <f t="shared" si="30"/>
        <v>0</v>
      </c>
      <c r="AA136" s="363">
        <f t="shared" si="30"/>
        <v>0</v>
      </c>
      <c r="AB136" s="363">
        <f t="shared" si="30"/>
        <v>0</v>
      </c>
      <c r="AC136" s="363">
        <f t="shared" si="30"/>
        <v>0</v>
      </c>
      <c r="AD136" s="363">
        <f t="shared" si="30"/>
        <v>0</v>
      </c>
      <c r="AE136" s="363">
        <f t="shared" si="30"/>
        <v>0</v>
      </c>
      <c r="AF136" s="363">
        <f t="shared" si="30"/>
        <v>0</v>
      </c>
      <c r="AG136" s="363">
        <f t="shared" si="30"/>
        <v>0</v>
      </c>
      <c r="AH136" s="363">
        <f t="shared" si="30"/>
        <v>0</v>
      </c>
      <c r="AI136" s="363">
        <f t="shared" si="30"/>
        <v>0</v>
      </c>
      <c r="AJ136" s="363">
        <f t="shared" si="30"/>
        <v>0</v>
      </c>
      <c r="AK136" s="363">
        <f t="shared" si="30"/>
        <v>0</v>
      </c>
      <c r="AL136" s="363">
        <f t="shared" si="30"/>
        <v>0</v>
      </c>
      <c r="AM136" s="363">
        <f t="shared" si="30"/>
        <v>0</v>
      </c>
      <c r="AN136" s="363">
        <f t="shared" si="30"/>
        <v>0</v>
      </c>
      <c r="AO136" s="363">
        <f t="shared" si="30"/>
        <v>0</v>
      </c>
      <c r="AP136" s="363">
        <f t="shared" si="30"/>
        <v>0</v>
      </c>
      <c r="AQ136" s="363">
        <f t="shared" si="30"/>
        <v>0</v>
      </c>
      <c r="AR136" s="363">
        <f t="shared" si="30"/>
        <v>0</v>
      </c>
      <c r="AS136" s="363">
        <f t="shared" si="30"/>
        <v>0</v>
      </c>
      <c r="AT136" s="363">
        <f t="shared" si="30"/>
        <v>0</v>
      </c>
      <c r="AU136" s="363">
        <f t="shared" si="30"/>
        <v>0</v>
      </c>
      <c r="AV136" s="363">
        <f t="shared" si="30"/>
        <v>0</v>
      </c>
    </row>
    <row r="137" spans="1:48" x14ac:dyDescent="0.25">
      <c r="A137" s="350" t="s">
        <v>1453</v>
      </c>
      <c r="B137" t="s">
        <v>295</v>
      </c>
      <c r="C137" t="s">
        <v>1532</v>
      </c>
      <c r="D137">
        <f t="shared" si="32"/>
        <v>0</v>
      </c>
      <c r="E137">
        <f t="shared" si="32"/>
        <v>0</v>
      </c>
      <c r="F137">
        <f t="shared" si="32"/>
        <v>0</v>
      </c>
      <c r="G137">
        <f t="shared" si="32"/>
        <v>0</v>
      </c>
      <c r="H137">
        <f t="shared" si="32"/>
        <v>0</v>
      </c>
      <c r="I137">
        <f t="shared" si="32"/>
        <v>0</v>
      </c>
      <c r="J137">
        <f t="shared" si="32"/>
        <v>0</v>
      </c>
      <c r="K137">
        <f t="shared" si="32"/>
        <v>0</v>
      </c>
      <c r="L137">
        <f t="shared" si="32"/>
        <v>0</v>
      </c>
      <c r="M137">
        <f t="shared" si="32"/>
        <v>0</v>
      </c>
      <c r="N137">
        <f t="shared" si="32"/>
        <v>0</v>
      </c>
      <c r="O137" s="363">
        <f t="shared" si="31"/>
        <v>0</v>
      </c>
      <c r="P137" s="363">
        <f t="shared" si="30"/>
        <v>0</v>
      </c>
      <c r="Q137" s="363">
        <f t="shared" si="30"/>
        <v>0</v>
      </c>
      <c r="R137" s="363">
        <f t="shared" si="30"/>
        <v>0</v>
      </c>
      <c r="S137" s="363">
        <f t="shared" si="30"/>
        <v>0</v>
      </c>
      <c r="T137" s="363">
        <f t="shared" si="30"/>
        <v>0</v>
      </c>
      <c r="U137" s="363">
        <f t="shared" si="30"/>
        <v>0</v>
      </c>
      <c r="V137" s="363">
        <f t="shared" si="30"/>
        <v>0</v>
      </c>
      <c r="W137" s="363">
        <f t="shared" si="30"/>
        <v>0</v>
      </c>
      <c r="X137" s="363">
        <f t="shared" si="30"/>
        <v>0</v>
      </c>
      <c r="Y137" s="363">
        <f t="shared" si="30"/>
        <v>0</v>
      </c>
      <c r="Z137" s="363">
        <f t="shared" si="30"/>
        <v>0</v>
      </c>
      <c r="AA137" s="363">
        <f t="shared" si="30"/>
        <v>0</v>
      </c>
      <c r="AB137" s="363">
        <f t="shared" si="30"/>
        <v>0</v>
      </c>
      <c r="AC137" s="363">
        <f t="shared" si="30"/>
        <v>0</v>
      </c>
      <c r="AD137" s="363">
        <f t="shared" si="30"/>
        <v>0</v>
      </c>
      <c r="AE137" s="363">
        <f t="shared" ref="P137:AV145" si="33">IFERROR(IF($N137-$D137&gt;=0,($N137-$D137)/COUNT($E$1:$N$1)+AD137,$F491*$E491^AE$1),0)</f>
        <v>0</v>
      </c>
      <c r="AF137" s="363">
        <f t="shared" si="33"/>
        <v>0</v>
      </c>
      <c r="AG137" s="363">
        <f t="shared" si="33"/>
        <v>0</v>
      </c>
      <c r="AH137" s="363">
        <f t="shared" si="33"/>
        <v>0</v>
      </c>
      <c r="AI137" s="363">
        <f t="shared" si="33"/>
        <v>0</v>
      </c>
      <c r="AJ137" s="363">
        <f t="shared" si="33"/>
        <v>0</v>
      </c>
      <c r="AK137" s="363">
        <f t="shared" si="33"/>
        <v>0</v>
      </c>
      <c r="AL137" s="363">
        <f t="shared" si="33"/>
        <v>0</v>
      </c>
      <c r="AM137" s="363">
        <f t="shared" si="33"/>
        <v>0</v>
      </c>
      <c r="AN137" s="363">
        <f t="shared" si="33"/>
        <v>0</v>
      </c>
      <c r="AO137" s="363">
        <f t="shared" si="33"/>
        <v>0</v>
      </c>
      <c r="AP137" s="363">
        <f t="shared" si="33"/>
        <v>0</v>
      </c>
      <c r="AQ137" s="363">
        <f t="shared" si="33"/>
        <v>0</v>
      </c>
      <c r="AR137" s="363">
        <f t="shared" si="33"/>
        <v>0</v>
      </c>
      <c r="AS137" s="363">
        <f t="shared" si="33"/>
        <v>0</v>
      </c>
      <c r="AT137" s="363">
        <f t="shared" si="33"/>
        <v>0</v>
      </c>
      <c r="AU137" s="363">
        <f t="shared" si="33"/>
        <v>0</v>
      </c>
      <c r="AV137" s="363">
        <f t="shared" si="33"/>
        <v>0</v>
      </c>
    </row>
    <row r="138" spans="1:48" x14ac:dyDescent="0.25">
      <c r="A138" s="350" t="s">
        <v>1454</v>
      </c>
      <c r="B138" t="s">
        <v>285</v>
      </c>
      <c r="C138" t="s">
        <v>1532</v>
      </c>
      <c r="D138">
        <f t="shared" si="32"/>
        <v>0</v>
      </c>
      <c r="E138">
        <f t="shared" si="32"/>
        <v>0</v>
      </c>
      <c r="F138">
        <f t="shared" si="32"/>
        <v>0</v>
      </c>
      <c r="G138">
        <f t="shared" si="32"/>
        <v>0</v>
      </c>
      <c r="H138">
        <f t="shared" si="32"/>
        <v>0</v>
      </c>
      <c r="I138">
        <f t="shared" si="32"/>
        <v>0</v>
      </c>
      <c r="J138">
        <f t="shared" si="32"/>
        <v>0</v>
      </c>
      <c r="K138">
        <f t="shared" si="32"/>
        <v>0</v>
      </c>
      <c r="L138">
        <f t="shared" si="32"/>
        <v>0</v>
      </c>
      <c r="M138">
        <f t="shared" si="32"/>
        <v>0</v>
      </c>
      <c r="N138">
        <f t="shared" si="32"/>
        <v>0</v>
      </c>
      <c r="O138" s="363">
        <f t="shared" si="31"/>
        <v>0</v>
      </c>
      <c r="P138" s="363">
        <f t="shared" si="33"/>
        <v>0</v>
      </c>
      <c r="Q138" s="363">
        <f t="shared" si="33"/>
        <v>0</v>
      </c>
      <c r="R138" s="363">
        <f t="shared" si="33"/>
        <v>0</v>
      </c>
      <c r="S138" s="363">
        <f t="shared" si="33"/>
        <v>0</v>
      </c>
      <c r="T138" s="363">
        <f t="shared" si="33"/>
        <v>0</v>
      </c>
      <c r="U138" s="363">
        <f t="shared" si="33"/>
        <v>0</v>
      </c>
      <c r="V138" s="363">
        <f t="shared" si="33"/>
        <v>0</v>
      </c>
      <c r="W138" s="363">
        <f t="shared" si="33"/>
        <v>0</v>
      </c>
      <c r="X138" s="363">
        <f t="shared" si="33"/>
        <v>0</v>
      </c>
      <c r="Y138" s="363">
        <f t="shared" si="33"/>
        <v>0</v>
      </c>
      <c r="Z138" s="363">
        <f t="shared" si="33"/>
        <v>0</v>
      </c>
      <c r="AA138" s="363">
        <f t="shared" si="33"/>
        <v>0</v>
      </c>
      <c r="AB138" s="363">
        <f t="shared" si="33"/>
        <v>0</v>
      </c>
      <c r="AC138" s="363">
        <f t="shared" si="33"/>
        <v>0</v>
      </c>
      <c r="AD138" s="363">
        <f t="shared" si="33"/>
        <v>0</v>
      </c>
      <c r="AE138" s="363">
        <f t="shared" si="33"/>
        <v>0</v>
      </c>
      <c r="AF138" s="363">
        <f t="shared" si="33"/>
        <v>0</v>
      </c>
      <c r="AG138" s="363">
        <f t="shared" si="33"/>
        <v>0</v>
      </c>
      <c r="AH138" s="363">
        <f t="shared" si="33"/>
        <v>0</v>
      </c>
      <c r="AI138" s="363">
        <f t="shared" si="33"/>
        <v>0</v>
      </c>
      <c r="AJ138" s="363">
        <f t="shared" si="33"/>
        <v>0</v>
      </c>
      <c r="AK138" s="363">
        <f t="shared" si="33"/>
        <v>0</v>
      </c>
      <c r="AL138" s="363">
        <f t="shared" si="33"/>
        <v>0</v>
      </c>
      <c r="AM138" s="363">
        <f t="shared" si="33"/>
        <v>0</v>
      </c>
      <c r="AN138" s="363">
        <f t="shared" si="33"/>
        <v>0</v>
      </c>
      <c r="AO138" s="363">
        <f t="shared" si="33"/>
        <v>0</v>
      </c>
      <c r="AP138" s="363">
        <f t="shared" si="33"/>
        <v>0</v>
      </c>
      <c r="AQ138" s="363">
        <f t="shared" si="33"/>
        <v>0</v>
      </c>
      <c r="AR138" s="363">
        <f t="shared" si="33"/>
        <v>0</v>
      </c>
      <c r="AS138" s="363">
        <f t="shared" si="33"/>
        <v>0</v>
      </c>
      <c r="AT138" s="363">
        <f t="shared" si="33"/>
        <v>0</v>
      </c>
      <c r="AU138" s="363">
        <f t="shared" si="33"/>
        <v>0</v>
      </c>
      <c r="AV138" s="363">
        <f t="shared" si="33"/>
        <v>0</v>
      </c>
    </row>
    <row r="139" spans="1:48" x14ac:dyDescent="0.25">
      <c r="A139" s="350" t="s">
        <v>1455</v>
      </c>
      <c r="B139" t="s">
        <v>289</v>
      </c>
      <c r="C139" t="s">
        <v>1532</v>
      </c>
      <c r="D139">
        <f t="shared" si="32"/>
        <v>0</v>
      </c>
      <c r="E139">
        <f t="shared" si="32"/>
        <v>0</v>
      </c>
      <c r="F139">
        <f t="shared" si="32"/>
        <v>0</v>
      </c>
      <c r="G139">
        <f t="shared" si="32"/>
        <v>0</v>
      </c>
      <c r="H139">
        <f t="shared" si="32"/>
        <v>0</v>
      </c>
      <c r="I139">
        <f t="shared" si="32"/>
        <v>0</v>
      </c>
      <c r="J139">
        <f t="shared" si="32"/>
        <v>0</v>
      </c>
      <c r="K139">
        <f t="shared" si="32"/>
        <v>0</v>
      </c>
      <c r="L139">
        <f t="shared" si="32"/>
        <v>0</v>
      </c>
      <c r="M139">
        <f t="shared" si="32"/>
        <v>0</v>
      </c>
      <c r="N139">
        <f t="shared" si="32"/>
        <v>0</v>
      </c>
      <c r="O139" s="363">
        <f t="shared" si="31"/>
        <v>0</v>
      </c>
      <c r="P139" s="363">
        <f t="shared" si="33"/>
        <v>0</v>
      </c>
      <c r="Q139" s="363">
        <f t="shared" si="33"/>
        <v>0</v>
      </c>
      <c r="R139" s="363">
        <f t="shared" si="33"/>
        <v>0</v>
      </c>
      <c r="S139" s="363">
        <f t="shared" si="33"/>
        <v>0</v>
      </c>
      <c r="T139" s="363">
        <f t="shared" si="33"/>
        <v>0</v>
      </c>
      <c r="U139" s="363">
        <f t="shared" si="33"/>
        <v>0</v>
      </c>
      <c r="V139" s="363">
        <f t="shared" si="33"/>
        <v>0</v>
      </c>
      <c r="W139" s="363">
        <f t="shared" si="33"/>
        <v>0</v>
      </c>
      <c r="X139" s="363">
        <f t="shared" si="33"/>
        <v>0</v>
      </c>
      <c r="Y139" s="363">
        <f t="shared" si="33"/>
        <v>0</v>
      </c>
      <c r="Z139" s="363">
        <f t="shared" si="33"/>
        <v>0</v>
      </c>
      <c r="AA139" s="363">
        <f t="shared" si="33"/>
        <v>0</v>
      </c>
      <c r="AB139" s="363">
        <f t="shared" si="33"/>
        <v>0</v>
      </c>
      <c r="AC139" s="363">
        <f t="shared" si="33"/>
        <v>0</v>
      </c>
      <c r="AD139" s="363">
        <f t="shared" si="33"/>
        <v>0</v>
      </c>
      <c r="AE139" s="363">
        <f t="shared" si="33"/>
        <v>0</v>
      </c>
      <c r="AF139" s="363">
        <f t="shared" si="33"/>
        <v>0</v>
      </c>
      <c r="AG139" s="363">
        <f t="shared" si="33"/>
        <v>0</v>
      </c>
      <c r="AH139" s="363">
        <f t="shared" si="33"/>
        <v>0</v>
      </c>
      <c r="AI139" s="363">
        <f t="shared" si="33"/>
        <v>0</v>
      </c>
      <c r="AJ139" s="363">
        <f t="shared" si="33"/>
        <v>0</v>
      </c>
      <c r="AK139" s="363">
        <f t="shared" si="33"/>
        <v>0</v>
      </c>
      <c r="AL139" s="363">
        <f t="shared" si="33"/>
        <v>0</v>
      </c>
      <c r="AM139" s="363">
        <f t="shared" si="33"/>
        <v>0</v>
      </c>
      <c r="AN139" s="363">
        <f t="shared" si="33"/>
        <v>0</v>
      </c>
      <c r="AO139" s="363">
        <f t="shared" si="33"/>
        <v>0</v>
      </c>
      <c r="AP139" s="363">
        <f t="shared" si="33"/>
        <v>0</v>
      </c>
      <c r="AQ139" s="363">
        <f t="shared" si="33"/>
        <v>0</v>
      </c>
      <c r="AR139" s="363">
        <f t="shared" si="33"/>
        <v>0</v>
      </c>
      <c r="AS139" s="363">
        <f t="shared" si="33"/>
        <v>0</v>
      </c>
      <c r="AT139" s="363">
        <f t="shared" si="33"/>
        <v>0</v>
      </c>
      <c r="AU139" s="363">
        <f t="shared" si="33"/>
        <v>0</v>
      </c>
      <c r="AV139" s="363">
        <f t="shared" si="33"/>
        <v>0</v>
      </c>
    </row>
    <row r="140" spans="1:48" x14ac:dyDescent="0.25">
      <c r="A140" s="350" t="s">
        <v>1456</v>
      </c>
      <c r="B140" t="s">
        <v>289</v>
      </c>
      <c r="C140" t="s">
        <v>1532</v>
      </c>
      <c r="D140">
        <f t="shared" si="32"/>
        <v>0</v>
      </c>
      <c r="E140">
        <f t="shared" si="32"/>
        <v>0</v>
      </c>
      <c r="F140">
        <f t="shared" si="32"/>
        <v>0</v>
      </c>
      <c r="G140">
        <f t="shared" si="32"/>
        <v>0</v>
      </c>
      <c r="H140">
        <f t="shared" si="32"/>
        <v>0</v>
      </c>
      <c r="I140">
        <f t="shared" si="32"/>
        <v>0</v>
      </c>
      <c r="J140">
        <f t="shared" si="32"/>
        <v>0</v>
      </c>
      <c r="K140">
        <f t="shared" si="32"/>
        <v>0</v>
      </c>
      <c r="L140">
        <f t="shared" si="32"/>
        <v>0</v>
      </c>
      <c r="M140">
        <f t="shared" si="32"/>
        <v>0</v>
      </c>
      <c r="N140">
        <f t="shared" si="32"/>
        <v>0</v>
      </c>
      <c r="O140" s="363">
        <f t="shared" si="31"/>
        <v>0</v>
      </c>
      <c r="P140" s="363">
        <f t="shared" si="33"/>
        <v>0</v>
      </c>
      <c r="Q140" s="363">
        <f t="shared" si="33"/>
        <v>0</v>
      </c>
      <c r="R140" s="363">
        <f t="shared" si="33"/>
        <v>0</v>
      </c>
      <c r="S140" s="363">
        <f t="shared" si="33"/>
        <v>0</v>
      </c>
      <c r="T140" s="363">
        <f t="shared" si="33"/>
        <v>0</v>
      </c>
      <c r="U140" s="363">
        <f t="shared" si="33"/>
        <v>0</v>
      </c>
      <c r="V140" s="363">
        <f t="shared" si="33"/>
        <v>0</v>
      </c>
      <c r="W140" s="363">
        <f t="shared" si="33"/>
        <v>0</v>
      </c>
      <c r="X140" s="363">
        <f t="shared" si="33"/>
        <v>0</v>
      </c>
      <c r="Y140" s="363">
        <f t="shared" si="33"/>
        <v>0</v>
      </c>
      <c r="Z140" s="363">
        <f t="shared" si="33"/>
        <v>0</v>
      </c>
      <c r="AA140" s="363">
        <f t="shared" si="33"/>
        <v>0</v>
      </c>
      <c r="AB140" s="363">
        <f t="shared" si="33"/>
        <v>0</v>
      </c>
      <c r="AC140" s="363">
        <f t="shared" si="33"/>
        <v>0</v>
      </c>
      <c r="AD140" s="363">
        <f t="shared" si="33"/>
        <v>0</v>
      </c>
      <c r="AE140" s="363">
        <f t="shared" si="33"/>
        <v>0</v>
      </c>
      <c r="AF140" s="363">
        <f t="shared" si="33"/>
        <v>0</v>
      </c>
      <c r="AG140" s="363">
        <f t="shared" si="33"/>
        <v>0</v>
      </c>
      <c r="AH140" s="363">
        <f t="shared" si="33"/>
        <v>0</v>
      </c>
      <c r="AI140" s="363">
        <f t="shared" si="33"/>
        <v>0</v>
      </c>
      <c r="AJ140" s="363">
        <f t="shared" si="33"/>
        <v>0</v>
      </c>
      <c r="AK140" s="363">
        <f t="shared" si="33"/>
        <v>0</v>
      </c>
      <c r="AL140" s="363">
        <f t="shared" si="33"/>
        <v>0</v>
      </c>
      <c r="AM140" s="363">
        <f t="shared" si="33"/>
        <v>0</v>
      </c>
      <c r="AN140" s="363">
        <f t="shared" si="33"/>
        <v>0</v>
      </c>
      <c r="AO140" s="363">
        <f t="shared" si="33"/>
        <v>0</v>
      </c>
      <c r="AP140" s="363">
        <f t="shared" si="33"/>
        <v>0</v>
      </c>
      <c r="AQ140" s="363">
        <f t="shared" si="33"/>
        <v>0</v>
      </c>
      <c r="AR140" s="363">
        <f t="shared" si="33"/>
        <v>0</v>
      </c>
      <c r="AS140" s="363">
        <f t="shared" si="33"/>
        <v>0</v>
      </c>
      <c r="AT140" s="363">
        <f t="shared" si="33"/>
        <v>0</v>
      </c>
      <c r="AU140" s="363">
        <f t="shared" si="33"/>
        <v>0</v>
      </c>
      <c r="AV140" s="363">
        <f t="shared" si="33"/>
        <v>0</v>
      </c>
    </row>
    <row r="141" spans="1:48" x14ac:dyDescent="0.25">
      <c r="A141" s="352" t="s">
        <v>1732</v>
      </c>
      <c r="B141" t="s">
        <v>295</v>
      </c>
      <c r="C141" t="s">
        <v>1532</v>
      </c>
      <c r="D141">
        <f t="shared" si="32"/>
        <v>0</v>
      </c>
      <c r="E141">
        <f t="shared" si="32"/>
        <v>0</v>
      </c>
      <c r="F141">
        <f t="shared" si="32"/>
        <v>0</v>
      </c>
      <c r="G141">
        <f t="shared" si="32"/>
        <v>0</v>
      </c>
      <c r="H141">
        <f t="shared" si="32"/>
        <v>0</v>
      </c>
      <c r="I141">
        <f t="shared" si="32"/>
        <v>0</v>
      </c>
      <c r="J141">
        <f t="shared" si="32"/>
        <v>0</v>
      </c>
      <c r="K141">
        <f t="shared" si="32"/>
        <v>0</v>
      </c>
      <c r="L141">
        <f t="shared" si="32"/>
        <v>0</v>
      </c>
      <c r="M141">
        <f t="shared" si="32"/>
        <v>0</v>
      </c>
      <c r="N141">
        <f t="shared" si="32"/>
        <v>0</v>
      </c>
      <c r="O141" s="363">
        <f t="shared" si="31"/>
        <v>0</v>
      </c>
      <c r="P141" s="363">
        <f t="shared" si="33"/>
        <v>0</v>
      </c>
      <c r="Q141" s="363">
        <f t="shared" si="33"/>
        <v>0</v>
      </c>
      <c r="R141" s="363">
        <f t="shared" si="33"/>
        <v>0</v>
      </c>
      <c r="S141" s="363">
        <f t="shared" si="33"/>
        <v>0</v>
      </c>
      <c r="T141" s="363">
        <f t="shared" si="33"/>
        <v>0</v>
      </c>
      <c r="U141" s="363">
        <f t="shared" si="33"/>
        <v>0</v>
      </c>
      <c r="V141" s="363">
        <f t="shared" si="33"/>
        <v>0</v>
      </c>
      <c r="W141" s="363">
        <f t="shared" si="33"/>
        <v>0</v>
      </c>
      <c r="X141" s="363">
        <f t="shared" si="33"/>
        <v>0</v>
      </c>
      <c r="Y141" s="363">
        <f t="shared" si="33"/>
        <v>0</v>
      </c>
      <c r="Z141" s="363">
        <f t="shared" si="33"/>
        <v>0</v>
      </c>
      <c r="AA141" s="363">
        <f t="shared" si="33"/>
        <v>0</v>
      </c>
      <c r="AB141" s="363">
        <f t="shared" si="33"/>
        <v>0</v>
      </c>
      <c r="AC141" s="363">
        <f t="shared" si="33"/>
        <v>0</v>
      </c>
      <c r="AD141" s="363">
        <f t="shared" si="33"/>
        <v>0</v>
      </c>
      <c r="AE141" s="363">
        <f t="shared" si="33"/>
        <v>0</v>
      </c>
      <c r="AF141" s="363">
        <f t="shared" si="33"/>
        <v>0</v>
      </c>
      <c r="AG141" s="363">
        <f t="shared" si="33"/>
        <v>0</v>
      </c>
      <c r="AH141" s="363">
        <f t="shared" si="33"/>
        <v>0</v>
      </c>
      <c r="AI141" s="363">
        <f t="shared" si="33"/>
        <v>0</v>
      </c>
      <c r="AJ141" s="363">
        <f t="shared" si="33"/>
        <v>0</v>
      </c>
      <c r="AK141" s="363">
        <f t="shared" si="33"/>
        <v>0</v>
      </c>
      <c r="AL141" s="363">
        <f t="shared" si="33"/>
        <v>0</v>
      </c>
      <c r="AM141" s="363">
        <f t="shared" si="33"/>
        <v>0</v>
      </c>
      <c r="AN141" s="363">
        <f t="shared" si="33"/>
        <v>0</v>
      </c>
      <c r="AO141" s="363">
        <f t="shared" si="33"/>
        <v>0</v>
      </c>
      <c r="AP141" s="363">
        <f t="shared" si="33"/>
        <v>0</v>
      </c>
      <c r="AQ141" s="363">
        <f t="shared" si="33"/>
        <v>0</v>
      </c>
      <c r="AR141" s="363">
        <f t="shared" si="33"/>
        <v>0</v>
      </c>
      <c r="AS141" s="363">
        <f t="shared" si="33"/>
        <v>0</v>
      </c>
      <c r="AT141" s="363">
        <f t="shared" si="33"/>
        <v>0</v>
      </c>
      <c r="AU141" s="363">
        <f t="shared" si="33"/>
        <v>0</v>
      </c>
      <c r="AV141" s="363">
        <f t="shared" si="33"/>
        <v>0</v>
      </c>
    </row>
    <row r="142" spans="1:48" x14ac:dyDescent="0.25">
      <c r="A142" s="350" t="s">
        <v>1718</v>
      </c>
      <c r="B142" t="s">
        <v>1461</v>
      </c>
      <c r="C142" t="s">
        <v>1532</v>
      </c>
      <c r="D142">
        <f t="shared" si="32"/>
        <v>0</v>
      </c>
      <c r="E142">
        <f t="shared" si="32"/>
        <v>0</v>
      </c>
      <c r="F142">
        <f t="shared" si="32"/>
        <v>0</v>
      </c>
      <c r="G142">
        <f t="shared" si="32"/>
        <v>0</v>
      </c>
      <c r="H142">
        <f t="shared" si="32"/>
        <v>0</v>
      </c>
      <c r="I142">
        <f t="shared" si="32"/>
        <v>0</v>
      </c>
      <c r="J142">
        <f t="shared" si="32"/>
        <v>0</v>
      </c>
      <c r="K142">
        <f t="shared" si="32"/>
        <v>0</v>
      </c>
      <c r="L142">
        <f t="shared" si="32"/>
        <v>0</v>
      </c>
      <c r="M142">
        <f t="shared" si="32"/>
        <v>0</v>
      </c>
      <c r="N142">
        <f t="shared" si="32"/>
        <v>0</v>
      </c>
      <c r="O142" s="363">
        <f t="shared" si="31"/>
        <v>0</v>
      </c>
      <c r="P142" s="363">
        <f t="shared" si="33"/>
        <v>0</v>
      </c>
      <c r="Q142" s="363">
        <f t="shared" si="33"/>
        <v>0</v>
      </c>
      <c r="R142" s="363">
        <f t="shared" si="33"/>
        <v>0</v>
      </c>
      <c r="S142" s="363">
        <f t="shared" si="33"/>
        <v>0</v>
      </c>
      <c r="T142" s="363">
        <f t="shared" si="33"/>
        <v>0</v>
      </c>
      <c r="U142" s="363">
        <f t="shared" si="33"/>
        <v>0</v>
      </c>
      <c r="V142" s="363">
        <f t="shared" si="33"/>
        <v>0</v>
      </c>
      <c r="W142" s="363">
        <f t="shared" si="33"/>
        <v>0</v>
      </c>
      <c r="X142" s="363">
        <f t="shared" si="33"/>
        <v>0</v>
      </c>
      <c r="Y142" s="363">
        <f t="shared" si="33"/>
        <v>0</v>
      </c>
      <c r="Z142" s="363">
        <f t="shared" si="33"/>
        <v>0</v>
      </c>
      <c r="AA142" s="363">
        <f t="shared" si="33"/>
        <v>0</v>
      </c>
      <c r="AB142" s="363">
        <f t="shared" si="33"/>
        <v>0</v>
      </c>
      <c r="AC142" s="363">
        <f t="shared" si="33"/>
        <v>0</v>
      </c>
      <c r="AD142" s="363">
        <f t="shared" si="33"/>
        <v>0</v>
      </c>
      <c r="AE142" s="363">
        <f t="shared" si="33"/>
        <v>0</v>
      </c>
      <c r="AF142" s="363">
        <f t="shared" si="33"/>
        <v>0</v>
      </c>
      <c r="AG142" s="363">
        <f t="shared" si="33"/>
        <v>0</v>
      </c>
      <c r="AH142" s="363">
        <f t="shared" si="33"/>
        <v>0</v>
      </c>
      <c r="AI142" s="363">
        <f t="shared" si="33"/>
        <v>0</v>
      </c>
      <c r="AJ142" s="363">
        <f t="shared" si="33"/>
        <v>0</v>
      </c>
      <c r="AK142" s="363">
        <f t="shared" si="33"/>
        <v>0</v>
      </c>
      <c r="AL142" s="363">
        <f t="shared" si="33"/>
        <v>0</v>
      </c>
      <c r="AM142" s="363">
        <f t="shared" si="33"/>
        <v>0</v>
      </c>
      <c r="AN142" s="363">
        <f t="shared" si="33"/>
        <v>0</v>
      </c>
      <c r="AO142" s="363">
        <f t="shared" si="33"/>
        <v>0</v>
      </c>
      <c r="AP142" s="363">
        <f t="shared" si="33"/>
        <v>0</v>
      </c>
      <c r="AQ142" s="363">
        <f t="shared" si="33"/>
        <v>0</v>
      </c>
      <c r="AR142" s="363">
        <f t="shared" si="33"/>
        <v>0</v>
      </c>
      <c r="AS142" s="363">
        <f t="shared" si="33"/>
        <v>0</v>
      </c>
      <c r="AT142" s="363">
        <f t="shared" si="33"/>
        <v>0</v>
      </c>
      <c r="AU142" s="363">
        <f t="shared" si="33"/>
        <v>0</v>
      </c>
      <c r="AV142" s="363">
        <f t="shared" si="33"/>
        <v>0</v>
      </c>
    </row>
    <row r="143" spans="1:48" x14ac:dyDescent="0.25">
      <c r="A143" s="350" t="s">
        <v>1719</v>
      </c>
      <c r="B143" t="s">
        <v>295</v>
      </c>
      <c r="C143" t="s">
        <v>1532</v>
      </c>
      <c r="D143">
        <f t="shared" si="32"/>
        <v>0</v>
      </c>
      <c r="E143">
        <f t="shared" si="32"/>
        <v>0</v>
      </c>
      <c r="F143">
        <f t="shared" si="32"/>
        <v>0</v>
      </c>
      <c r="G143">
        <f t="shared" si="32"/>
        <v>0</v>
      </c>
      <c r="H143">
        <f t="shared" si="32"/>
        <v>0</v>
      </c>
      <c r="I143">
        <f t="shared" si="32"/>
        <v>0</v>
      </c>
      <c r="J143">
        <f t="shared" si="32"/>
        <v>0</v>
      </c>
      <c r="K143">
        <f t="shared" si="32"/>
        <v>0</v>
      </c>
      <c r="L143">
        <f t="shared" si="32"/>
        <v>0</v>
      </c>
      <c r="M143">
        <f t="shared" si="32"/>
        <v>0</v>
      </c>
      <c r="N143">
        <f t="shared" si="32"/>
        <v>0</v>
      </c>
      <c r="O143" s="363">
        <f t="shared" si="31"/>
        <v>0</v>
      </c>
      <c r="P143" s="363">
        <f t="shared" si="33"/>
        <v>0</v>
      </c>
      <c r="Q143" s="363">
        <f t="shared" si="33"/>
        <v>0</v>
      </c>
      <c r="R143" s="363">
        <f t="shared" si="33"/>
        <v>0</v>
      </c>
      <c r="S143" s="363">
        <f t="shared" si="33"/>
        <v>0</v>
      </c>
      <c r="T143" s="363">
        <f t="shared" si="33"/>
        <v>0</v>
      </c>
      <c r="U143" s="363">
        <f t="shared" si="33"/>
        <v>0</v>
      </c>
      <c r="V143" s="363">
        <f t="shared" si="33"/>
        <v>0</v>
      </c>
      <c r="W143" s="363">
        <f t="shared" si="33"/>
        <v>0</v>
      </c>
      <c r="X143" s="363">
        <f t="shared" si="33"/>
        <v>0</v>
      </c>
      <c r="Y143" s="363">
        <f t="shared" si="33"/>
        <v>0</v>
      </c>
      <c r="Z143" s="363">
        <f t="shared" si="33"/>
        <v>0</v>
      </c>
      <c r="AA143" s="363">
        <f t="shared" si="33"/>
        <v>0</v>
      </c>
      <c r="AB143" s="363">
        <f t="shared" si="33"/>
        <v>0</v>
      </c>
      <c r="AC143" s="363">
        <f t="shared" si="33"/>
        <v>0</v>
      </c>
      <c r="AD143" s="363">
        <f t="shared" si="33"/>
        <v>0</v>
      </c>
      <c r="AE143" s="363">
        <f t="shared" si="33"/>
        <v>0</v>
      </c>
      <c r="AF143" s="363">
        <f t="shared" si="33"/>
        <v>0</v>
      </c>
      <c r="AG143" s="363">
        <f t="shared" si="33"/>
        <v>0</v>
      </c>
      <c r="AH143" s="363">
        <f t="shared" si="33"/>
        <v>0</v>
      </c>
      <c r="AI143" s="363">
        <f t="shared" si="33"/>
        <v>0</v>
      </c>
      <c r="AJ143" s="363">
        <f t="shared" si="33"/>
        <v>0</v>
      </c>
      <c r="AK143" s="363">
        <f t="shared" si="33"/>
        <v>0</v>
      </c>
      <c r="AL143" s="363">
        <f t="shared" si="33"/>
        <v>0</v>
      </c>
      <c r="AM143" s="363">
        <f t="shared" si="33"/>
        <v>0</v>
      </c>
      <c r="AN143" s="363">
        <f t="shared" si="33"/>
        <v>0</v>
      </c>
      <c r="AO143" s="363">
        <f t="shared" si="33"/>
        <v>0</v>
      </c>
      <c r="AP143" s="363">
        <f t="shared" si="33"/>
        <v>0</v>
      </c>
      <c r="AQ143" s="363">
        <f t="shared" si="33"/>
        <v>0</v>
      </c>
      <c r="AR143" s="363">
        <f t="shared" si="33"/>
        <v>0</v>
      </c>
      <c r="AS143" s="363">
        <f t="shared" si="33"/>
        <v>0</v>
      </c>
      <c r="AT143" s="363">
        <f t="shared" si="33"/>
        <v>0</v>
      </c>
      <c r="AU143" s="363">
        <f t="shared" si="33"/>
        <v>0</v>
      </c>
      <c r="AV143" s="363">
        <f t="shared" si="33"/>
        <v>0</v>
      </c>
    </row>
    <row r="144" spans="1:48" s="103" customFormat="1" x14ac:dyDescent="0.25">
      <c r="A144" s="353" t="s">
        <v>1720</v>
      </c>
      <c r="B144" s="103" t="s">
        <v>1734</v>
      </c>
      <c r="C144" s="103" t="s">
        <v>1532</v>
      </c>
      <c r="D144" s="103">
        <f t="shared" si="32"/>
        <v>0</v>
      </c>
      <c r="E144" s="103">
        <f t="shared" si="32"/>
        <v>0</v>
      </c>
      <c r="F144" s="103">
        <f t="shared" si="32"/>
        <v>0</v>
      </c>
      <c r="G144" s="103">
        <f t="shared" si="32"/>
        <v>0</v>
      </c>
      <c r="H144" s="103">
        <f t="shared" si="32"/>
        <v>0</v>
      </c>
      <c r="I144" s="103">
        <f t="shared" si="32"/>
        <v>0</v>
      </c>
      <c r="J144" s="103">
        <f t="shared" si="32"/>
        <v>0</v>
      </c>
      <c r="K144" s="103">
        <f t="shared" si="32"/>
        <v>0</v>
      </c>
      <c r="L144" s="103">
        <f t="shared" si="32"/>
        <v>0</v>
      </c>
      <c r="M144" s="103">
        <f t="shared" si="32"/>
        <v>0</v>
      </c>
      <c r="N144" s="103">
        <f t="shared" si="32"/>
        <v>0</v>
      </c>
      <c r="O144" s="363">
        <f t="shared" si="31"/>
        <v>0</v>
      </c>
      <c r="P144" s="363">
        <f t="shared" si="33"/>
        <v>0</v>
      </c>
      <c r="Q144" s="363">
        <f t="shared" si="33"/>
        <v>0</v>
      </c>
      <c r="R144" s="363">
        <f t="shared" si="33"/>
        <v>0</v>
      </c>
      <c r="S144" s="363">
        <f t="shared" si="33"/>
        <v>0</v>
      </c>
      <c r="T144" s="363">
        <f t="shared" si="33"/>
        <v>0</v>
      </c>
      <c r="U144" s="363">
        <f t="shared" si="33"/>
        <v>0</v>
      </c>
      <c r="V144" s="363">
        <f t="shared" si="33"/>
        <v>0</v>
      </c>
      <c r="W144" s="363">
        <f t="shared" si="33"/>
        <v>0</v>
      </c>
      <c r="X144" s="363">
        <f t="shared" si="33"/>
        <v>0</v>
      </c>
      <c r="Y144" s="363">
        <f t="shared" si="33"/>
        <v>0</v>
      </c>
      <c r="Z144" s="363">
        <f t="shared" si="33"/>
        <v>0</v>
      </c>
      <c r="AA144" s="363">
        <f t="shared" si="33"/>
        <v>0</v>
      </c>
      <c r="AB144" s="363">
        <f t="shared" si="33"/>
        <v>0</v>
      </c>
      <c r="AC144" s="363">
        <f t="shared" si="33"/>
        <v>0</v>
      </c>
      <c r="AD144" s="363">
        <f t="shared" si="33"/>
        <v>0</v>
      </c>
      <c r="AE144" s="363">
        <f t="shared" si="33"/>
        <v>0</v>
      </c>
      <c r="AF144" s="363">
        <f t="shared" si="33"/>
        <v>0</v>
      </c>
      <c r="AG144" s="363">
        <f t="shared" si="33"/>
        <v>0</v>
      </c>
      <c r="AH144" s="363">
        <f t="shared" si="33"/>
        <v>0</v>
      </c>
      <c r="AI144" s="363">
        <f t="shared" si="33"/>
        <v>0</v>
      </c>
      <c r="AJ144" s="363">
        <f t="shared" si="33"/>
        <v>0</v>
      </c>
      <c r="AK144" s="363">
        <f t="shared" si="33"/>
        <v>0</v>
      </c>
      <c r="AL144" s="363">
        <f t="shared" si="33"/>
        <v>0</v>
      </c>
      <c r="AM144" s="363">
        <f t="shared" si="33"/>
        <v>0</v>
      </c>
      <c r="AN144" s="363">
        <f t="shared" si="33"/>
        <v>0</v>
      </c>
      <c r="AO144" s="363">
        <f t="shared" si="33"/>
        <v>0</v>
      </c>
      <c r="AP144" s="363">
        <f t="shared" si="33"/>
        <v>0</v>
      </c>
      <c r="AQ144" s="363">
        <f t="shared" si="33"/>
        <v>0</v>
      </c>
      <c r="AR144" s="363">
        <f t="shared" si="33"/>
        <v>0</v>
      </c>
      <c r="AS144" s="363">
        <f t="shared" si="33"/>
        <v>0</v>
      </c>
      <c r="AT144" s="363">
        <f t="shared" si="33"/>
        <v>0</v>
      </c>
      <c r="AU144" s="363">
        <f t="shared" si="33"/>
        <v>0</v>
      </c>
      <c r="AV144" s="363">
        <f t="shared" si="33"/>
        <v>0</v>
      </c>
    </row>
    <row r="145" spans="1:48" x14ac:dyDescent="0.25">
      <c r="A145" s="350" t="s">
        <v>1721</v>
      </c>
      <c r="B145" t="s">
        <v>295</v>
      </c>
      <c r="C145" t="s">
        <v>1532</v>
      </c>
      <c r="D145">
        <f t="shared" si="32"/>
        <v>0</v>
      </c>
      <c r="E145">
        <f t="shared" si="32"/>
        <v>0</v>
      </c>
      <c r="F145">
        <f t="shared" si="32"/>
        <v>0</v>
      </c>
      <c r="G145">
        <f t="shared" si="32"/>
        <v>0</v>
      </c>
      <c r="H145">
        <f t="shared" si="32"/>
        <v>0</v>
      </c>
      <c r="I145">
        <f t="shared" si="32"/>
        <v>0</v>
      </c>
      <c r="J145">
        <f t="shared" si="32"/>
        <v>0</v>
      </c>
      <c r="K145">
        <f t="shared" si="32"/>
        <v>0</v>
      </c>
      <c r="L145">
        <f t="shared" si="32"/>
        <v>0</v>
      </c>
      <c r="M145">
        <f t="shared" si="32"/>
        <v>0</v>
      </c>
      <c r="N145">
        <f t="shared" si="32"/>
        <v>0</v>
      </c>
      <c r="O145" s="363">
        <f t="shared" si="31"/>
        <v>0</v>
      </c>
      <c r="P145" s="363">
        <f t="shared" si="33"/>
        <v>0</v>
      </c>
      <c r="Q145" s="363">
        <f t="shared" si="33"/>
        <v>0</v>
      </c>
      <c r="R145" s="363">
        <f t="shared" si="33"/>
        <v>0</v>
      </c>
      <c r="S145" s="363">
        <f t="shared" si="33"/>
        <v>0</v>
      </c>
      <c r="T145" s="363">
        <f t="shared" si="33"/>
        <v>0</v>
      </c>
      <c r="U145" s="363">
        <f t="shared" si="33"/>
        <v>0</v>
      </c>
      <c r="V145" s="363">
        <f t="shared" ref="P145:AV152" si="34">IFERROR(IF($N145-$D145&gt;=0,($N145-$D145)/COUNT($E$1:$N$1)+U145,$F499*$E499^V$1),0)</f>
        <v>0</v>
      </c>
      <c r="W145" s="363">
        <f t="shared" si="34"/>
        <v>0</v>
      </c>
      <c r="X145" s="363">
        <f t="shared" si="34"/>
        <v>0</v>
      </c>
      <c r="Y145" s="363">
        <f t="shared" si="34"/>
        <v>0</v>
      </c>
      <c r="Z145" s="363">
        <f t="shared" si="34"/>
        <v>0</v>
      </c>
      <c r="AA145" s="363">
        <f t="shared" si="34"/>
        <v>0</v>
      </c>
      <c r="AB145" s="363">
        <f t="shared" si="34"/>
        <v>0</v>
      </c>
      <c r="AC145" s="363">
        <f t="shared" si="34"/>
        <v>0</v>
      </c>
      <c r="AD145" s="363">
        <f t="shared" si="34"/>
        <v>0</v>
      </c>
      <c r="AE145" s="363">
        <f t="shared" si="34"/>
        <v>0</v>
      </c>
      <c r="AF145" s="363">
        <f t="shared" si="34"/>
        <v>0</v>
      </c>
      <c r="AG145" s="363">
        <f t="shared" si="34"/>
        <v>0</v>
      </c>
      <c r="AH145" s="363">
        <f t="shared" si="34"/>
        <v>0</v>
      </c>
      <c r="AI145" s="363">
        <f t="shared" si="34"/>
        <v>0</v>
      </c>
      <c r="AJ145" s="363">
        <f t="shared" si="34"/>
        <v>0</v>
      </c>
      <c r="AK145" s="363">
        <f t="shared" si="34"/>
        <v>0</v>
      </c>
      <c r="AL145" s="363">
        <f t="shared" si="34"/>
        <v>0</v>
      </c>
      <c r="AM145" s="363">
        <f t="shared" si="34"/>
        <v>0</v>
      </c>
      <c r="AN145" s="363">
        <f t="shared" si="34"/>
        <v>0</v>
      </c>
      <c r="AO145" s="363">
        <f t="shared" si="34"/>
        <v>0</v>
      </c>
      <c r="AP145" s="363">
        <f t="shared" si="34"/>
        <v>0</v>
      </c>
      <c r="AQ145" s="363">
        <f t="shared" si="34"/>
        <v>0</v>
      </c>
      <c r="AR145" s="363">
        <f t="shared" si="34"/>
        <v>0</v>
      </c>
      <c r="AS145" s="363">
        <f t="shared" si="34"/>
        <v>0</v>
      </c>
      <c r="AT145" s="363">
        <f t="shared" si="34"/>
        <v>0</v>
      </c>
      <c r="AU145" s="363">
        <f t="shared" si="34"/>
        <v>0</v>
      </c>
      <c r="AV145" s="363">
        <f t="shared" si="34"/>
        <v>0</v>
      </c>
    </row>
    <row r="146" spans="1:48" x14ac:dyDescent="0.25">
      <c r="A146" s="350" t="s">
        <v>1439</v>
      </c>
      <c r="B146" t="s">
        <v>1460</v>
      </c>
      <c r="C146" t="s">
        <v>1533</v>
      </c>
      <c r="D146">
        <f t="shared" ref="D146:N155" si="35">IFERROR(INDEX($B$259:$AB$259,MATCH($A146,$A$259,0),MATCH(D$1,$B$176:$AB$176,0)),0)</f>
        <v>0</v>
      </c>
      <c r="E146">
        <f t="shared" si="35"/>
        <v>0</v>
      </c>
      <c r="F146">
        <f t="shared" si="35"/>
        <v>0</v>
      </c>
      <c r="G146">
        <f t="shared" si="35"/>
        <v>0</v>
      </c>
      <c r="H146">
        <f t="shared" si="35"/>
        <v>0</v>
      </c>
      <c r="I146">
        <f t="shared" si="35"/>
        <v>0</v>
      </c>
      <c r="J146">
        <f t="shared" si="35"/>
        <v>0</v>
      </c>
      <c r="K146">
        <f t="shared" si="35"/>
        <v>0</v>
      </c>
      <c r="L146">
        <f t="shared" si="35"/>
        <v>0</v>
      </c>
      <c r="M146">
        <f t="shared" si="35"/>
        <v>0</v>
      </c>
      <c r="N146">
        <f t="shared" si="35"/>
        <v>0</v>
      </c>
      <c r="O146" s="363">
        <f t="shared" si="31"/>
        <v>0</v>
      </c>
      <c r="P146" s="363">
        <f t="shared" si="34"/>
        <v>0</v>
      </c>
      <c r="Q146" s="363">
        <f t="shared" si="34"/>
        <v>0</v>
      </c>
      <c r="R146" s="363">
        <f t="shared" si="34"/>
        <v>0</v>
      </c>
      <c r="S146" s="363">
        <f t="shared" si="34"/>
        <v>0</v>
      </c>
      <c r="T146" s="363">
        <f t="shared" si="34"/>
        <v>0</v>
      </c>
      <c r="U146" s="363">
        <f t="shared" si="34"/>
        <v>0</v>
      </c>
      <c r="V146" s="363">
        <f t="shared" si="34"/>
        <v>0</v>
      </c>
      <c r="W146" s="363">
        <f t="shared" si="34"/>
        <v>0</v>
      </c>
      <c r="X146" s="363">
        <f t="shared" si="34"/>
        <v>0</v>
      </c>
      <c r="Y146" s="363">
        <f t="shared" si="34"/>
        <v>0</v>
      </c>
      <c r="Z146" s="363">
        <f t="shared" si="34"/>
        <v>0</v>
      </c>
      <c r="AA146" s="363">
        <f t="shared" si="34"/>
        <v>0</v>
      </c>
      <c r="AB146" s="363">
        <f t="shared" si="34"/>
        <v>0</v>
      </c>
      <c r="AC146" s="363">
        <f t="shared" si="34"/>
        <v>0</v>
      </c>
      <c r="AD146" s="363">
        <f t="shared" si="34"/>
        <v>0</v>
      </c>
      <c r="AE146" s="363">
        <f t="shared" si="34"/>
        <v>0</v>
      </c>
      <c r="AF146" s="363">
        <f t="shared" si="34"/>
        <v>0</v>
      </c>
      <c r="AG146" s="363">
        <f t="shared" si="34"/>
        <v>0</v>
      </c>
      <c r="AH146" s="363">
        <f t="shared" si="34"/>
        <v>0</v>
      </c>
      <c r="AI146" s="363">
        <f t="shared" si="34"/>
        <v>0</v>
      </c>
      <c r="AJ146" s="363">
        <f t="shared" si="34"/>
        <v>0</v>
      </c>
      <c r="AK146" s="363">
        <f t="shared" si="34"/>
        <v>0</v>
      </c>
      <c r="AL146" s="363">
        <f t="shared" si="34"/>
        <v>0</v>
      </c>
      <c r="AM146" s="363">
        <f t="shared" si="34"/>
        <v>0</v>
      </c>
      <c r="AN146" s="363">
        <f t="shared" si="34"/>
        <v>0</v>
      </c>
      <c r="AO146" s="363">
        <f t="shared" si="34"/>
        <v>0</v>
      </c>
      <c r="AP146" s="363">
        <f t="shared" si="34"/>
        <v>0</v>
      </c>
      <c r="AQ146" s="363">
        <f t="shared" si="34"/>
        <v>0</v>
      </c>
      <c r="AR146" s="363">
        <f t="shared" si="34"/>
        <v>0</v>
      </c>
      <c r="AS146" s="363">
        <f t="shared" si="34"/>
        <v>0</v>
      </c>
      <c r="AT146" s="363">
        <f t="shared" si="34"/>
        <v>0</v>
      </c>
      <c r="AU146" s="363">
        <f t="shared" si="34"/>
        <v>0</v>
      </c>
      <c r="AV146" s="363">
        <f t="shared" si="34"/>
        <v>0</v>
      </c>
    </row>
    <row r="147" spans="1:48" x14ac:dyDescent="0.25">
      <c r="A147" s="350" t="s">
        <v>1440</v>
      </c>
      <c r="B147" t="s">
        <v>229</v>
      </c>
      <c r="C147" t="s">
        <v>1533</v>
      </c>
      <c r="D147">
        <f t="shared" si="35"/>
        <v>0</v>
      </c>
      <c r="E147">
        <f t="shared" si="35"/>
        <v>0</v>
      </c>
      <c r="F147">
        <f t="shared" si="35"/>
        <v>0</v>
      </c>
      <c r="G147">
        <f t="shared" si="35"/>
        <v>0</v>
      </c>
      <c r="H147">
        <f t="shared" si="35"/>
        <v>0</v>
      </c>
      <c r="I147">
        <f t="shared" si="35"/>
        <v>0</v>
      </c>
      <c r="J147">
        <f t="shared" si="35"/>
        <v>0</v>
      </c>
      <c r="K147">
        <f t="shared" si="35"/>
        <v>0</v>
      </c>
      <c r="L147">
        <f t="shared" si="35"/>
        <v>0</v>
      </c>
      <c r="M147">
        <f t="shared" si="35"/>
        <v>0</v>
      </c>
      <c r="N147">
        <f t="shared" si="35"/>
        <v>0</v>
      </c>
      <c r="O147" s="363">
        <f t="shared" si="31"/>
        <v>0</v>
      </c>
      <c r="P147" s="363">
        <f t="shared" si="34"/>
        <v>0</v>
      </c>
      <c r="Q147" s="363">
        <f t="shared" si="34"/>
        <v>0</v>
      </c>
      <c r="R147" s="363">
        <f t="shared" si="34"/>
        <v>0</v>
      </c>
      <c r="S147" s="363">
        <f t="shared" si="34"/>
        <v>0</v>
      </c>
      <c r="T147" s="363">
        <f t="shared" si="34"/>
        <v>0</v>
      </c>
      <c r="U147" s="363">
        <f t="shared" si="34"/>
        <v>0</v>
      </c>
      <c r="V147" s="363">
        <f t="shared" si="34"/>
        <v>0</v>
      </c>
      <c r="W147" s="363">
        <f t="shared" si="34"/>
        <v>0</v>
      </c>
      <c r="X147" s="363">
        <f t="shared" si="34"/>
        <v>0</v>
      </c>
      <c r="Y147" s="363">
        <f t="shared" si="34"/>
        <v>0</v>
      </c>
      <c r="Z147" s="363">
        <f t="shared" si="34"/>
        <v>0</v>
      </c>
      <c r="AA147" s="363">
        <f t="shared" si="34"/>
        <v>0</v>
      </c>
      <c r="AB147" s="363">
        <f t="shared" si="34"/>
        <v>0</v>
      </c>
      <c r="AC147" s="363">
        <f t="shared" si="34"/>
        <v>0</v>
      </c>
      <c r="AD147" s="363">
        <f t="shared" si="34"/>
        <v>0</v>
      </c>
      <c r="AE147" s="363">
        <f t="shared" si="34"/>
        <v>0</v>
      </c>
      <c r="AF147" s="363">
        <f t="shared" si="34"/>
        <v>0</v>
      </c>
      <c r="AG147" s="363">
        <f t="shared" si="34"/>
        <v>0</v>
      </c>
      <c r="AH147" s="363">
        <f t="shared" si="34"/>
        <v>0</v>
      </c>
      <c r="AI147" s="363">
        <f t="shared" si="34"/>
        <v>0</v>
      </c>
      <c r="AJ147" s="363">
        <f t="shared" si="34"/>
        <v>0</v>
      </c>
      <c r="AK147" s="363">
        <f t="shared" si="34"/>
        <v>0</v>
      </c>
      <c r="AL147" s="363">
        <f t="shared" si="34"/>
        <v>0</v>
      </c>
      <c r="AM147" s="363">
        <f t="shared" si="34"/>
        <v>0</v>
      </c>
      <c r="AN147" s="363">
        <f t="shared" si="34"/>
        <v>0</v>
      </c>
      <c r="AO147" s="363">
        <f t="shared" si="34"/>
        <v>0</v>
      </c>
      <c r="AP147" s="363">
        <f t="shared" si="34"/>
        <v>0</v>
      </c>
      <c r="AQ147" s="363">
        <f t="shared" si="34"/>
        <v>0</v>
      </c>
      <c r="AR147" s="363">
        <f t="shared" si="34"/>
        <v>0</v>
      </c>
      <c r="AS147" s="363">
        <f t="shared" si="34"/>
        <v>0</v>
      </c>
      <c r="AT147" s="363">
        <f t="shared" si="34"/>
        <v>0</v>
      </c>
      <c r="AU147" s="363">
        <f t="shared" si="34"/>
        <v>0</v>
      </c>
      <c r="AV147" s="363">
        <f t="shared" si="34"/>
        <v>0</v>
      </c>
    </row>
    <row r="148" spans="1:48" x14ac:dyDescent="0.25">
      <c r="A148" s="351" t="s">
        <v>1725</v>
      </c>
      <c r="B148" t="s">
        <v>295</v>
      </c>
      <c r="C148" t="s">
        <v>1533</v>
      </c>
      <c r="D148">
        <f t="shared" si="35"/>
        <v>0</v>
      </c>
      <c r="E148">
        <f t="shared" si="35"/>
        <v>0</v>
      </c>
      <c r="F148">
        <f t="shared" si="35"/>
        <v>0</v>
      </c>
      <c r="G148">
        <f t="shared" si="35"/>
        <v>0</v>
      </c>
      <c r="H148">
        <f t="shared" si="35"/>
        <v>0</v>
      </c>
      <c r="I148">
        <f t="shared" si="35"/>
        <v>0</v>
      </c>
      <c r="J148">
        <f t="shared" si="35"/>
        <v>0</v>
      </c>
      <c r="K148">
        <f t="shared" si="35"/>
        <v>0</v>
      </c>
      <c r="L148">
        <f t="shared" si="35"/>
        <v>0</v>
      </c>
      <c r="M148">
        <f t="shared" si="35"/>
        <v>0</v>
      </c>
      <c r="N148">
        <f t="shared" si="35"/>
        <v>0</v>
      </c>
      <c r="O148" s="363">
        <f t="shared" si="31"/>
        <v>0</v>
      </c>
      <c r="P148" s="363">
        <f t="shared" si="34"/>
        <v>0</v>
      </c>
      <c r="Q148" s="363">
        <f t="shared" si="34"/>
        <v>0</v>
      </c>
      <c r="R148" s="363">
        <f t="shared" si="34"/>
        <v>0</v>
      </c>
      <c r="S148" s="363">
        <f t="shared" si="34"/>
        <v>0</v>
      </c>
      <c r="T148" s="363">
        <f t="shared" si="34"/>
        <v>0</v>
      </c>
      <c r="U148" s="363">
        <f t="shared" si="34"/>
        <v>0</v>
      </c>
      <c r="V148" s="363">
        <f t="shared" si="34"/>
        <v>0</v>
      </c>
      <c r="W148" s="363">
        <f t="shared" si="34"/>
        <v>0</v>
      </c>
      <c r="X148" s="363">
        <f t="shared" si="34"/>
        <v>0</v>
      </c>
      <c r="Y148" s="363">
        <f t="shared" si="34"/>
        <v>0</v>
      </c>
      <c r="Z148" s="363">
        <f t="shared" si="34"/>
        <v>0</v>
      </c>
      <c r="AA148" s="363">
        <f t="shared" si="34"/>
        <v>0</v>
      </c>
      <c r="AB148" s="363">
        <f t="shared" si="34"/>
        <v>0</v>
      </c>
      <c r="AC148" s="363">
        <f t="shared" si="34"/>
        <v>0</v>
      </c>
      <c r="AD148" s="363">
        <f t="shared" si="34"/>
        <v>0</v>
      </c>
      <c r="AE148" s="363">
        <f t="shared" si="34"/>
        <v>0</v>
      </c>
      <c r="AF148" s="363">
        <f t="shared" si="34"/>
        <v>0</v>
      </c>
      <c r="AG148" s="363">
        <f t="shared" si="34"/>
        <v>0</v>
      </c>
      <c r="AH148" s="363">
        <f t="shared" si="34"/>
        <v>0</v>
      </c>
      <c r="AI148" s="363">
        <f t="shared" si="34"/>
        <v>0</v>
      </c>
      <c r="AJ148" s="363">
        <f t="shared" si="34"/>
        <v>0</v>
      </c>
      <c r="AK148" s="363">
        <f t="shared" si="34"/>
        <v>0</v>
      </c>
      <c r="AL148" s="363">
        <f t="shared" si="34"/>
        <v>0</v>
      </c>
      <c r="AM148" s="363">
        <f t="shared" si="34"/>
        <v>0</v>
      </c>
      <c r="AN148" s="363">
        <f t="shared" si="34"/>
        <v>0</v>
      </c>
      <c r="AO148" s="363">
        <f t="shared" si="34"/>
        <v>0</v>
      </c>
      <c r="AP148" s="363">
        <f t="shared" si="34"/>
        <v>0</v>
      </c>
      <c r="AQ148" s="363">
        <f t="shared" si="34"/>
        <v>0</v>
      </c>
      <c r="AR148" s="363">
        <f t="shared" si="34"/>
        <v>0</v>
      </c>
      <c r="AS148" s="363">
        <f t="shared" si="34"/>
        <v>0</v>
      </c>
      <c r="AT148" s="363">
        <f t="shared" si="34"/>
        <v>0</v>
      </c>
      <c r="AU148" s="363">
        <f t="shared" si="34"/>
        <v>0</v>
      </c>
      <c r="AV148" s="363">
        <f t="shared" si="34"/>
        <v>0</v>
      </c>
    </row>
    <row r="149" spans="1:48" x14ac:dyDescent="0.25">
      <c r="A149" s="350" t="s">
        <v>1722</v>
      </c>
      <c r="B149" t="s">
        <v>295</v>
      </c>
      <c r="C149" t="s">
        <v>1533</v>
      </c>
      <c r="D149">
        <f t="shared" si="35"/>
        <v>0</v>
      </c>
      <c r="E149">
        <f t="shared" si="35"/>
        <v>0</v>
      </c>
      <c r="F149">
        <f t="shared" si="35"/>
        <v>0</v>
      </c>
      <c r="G149">
        <f t="shared" si="35"/>
        <v>0</v>
      </c>
      <c r="H149">
        <f t="shared" si="35"/>
        <v>0</v>
      </c>
      <c r="I149">
        <f t="shared" si="35"/>
        <v>0</v>
      </c>
      <c r="J149">
        <f t="shared" si="35"/>
        <v>0</v>
      </c>
      <c r="K149">
        <f t="shared" si="35"/>
        <v>0</v>
      </c>
      <c r="L149">
        <f t="shared" si="35"/>
        <v>0</v>
      </c>
      <c r="M149">
        <f t="shared" si="35"/>
        <v>0</v>
      </c>
      <c r="N149">
        <f t="shared" si="35"/>
        <v>0</v>
      </c>
      <c r="O149" s="363">
        <f t="shared" si="31"/>
        <v>0</v>
      </c>
      <c r="P149" s="363">
        <f t="shared" si="34"/>
        <v>0</v>
      </c>
      <c r="Q149" s="363">
        <f t="shared" si="34"/>
        <v>0</v>
      </c>
      <c r="R149" s="363">
        <f t="shared" si="34"/>
        <v>0</v>
      </c>
      <c r="S149" s="363">
        <f t="shared" si="34"/>
        <v>0</v>
      </c>
      <c r="T149" s="363">
        <f t="shared" si="34"/>
        <v>0</v>
      </c>
      <c r="U149" s="363">
        <f t="shared" si="34"/>
        <v>0</v>
      </c>
      <c r="V149" s="363">
        <f t="shared" si="34"/>
        <v>0</v>
      </c>
      <c r="W149" s="363">
        <f t="shared" si="34"/>
        <v>0</v>
      </c>
      <c r="X149" s="363">
        <f t="shared" si="34"/>
        <v>0</v>
      </c>
      <c r="Y149" s="363">
        <f t="shared" si="34"/>
        <v>0</v>
      </c>
      <c r="Z149" s="363">
        <f t="shared" si="34"/>
        <v>0</v>
      </c>
      <c r="AA149" s="363">
        <f t="shared" si="34"/>
        <v>0</v>
      </c>
      <c r="AB149" s="363">
        <f t="shared" si="34"/>
        <v>0</v>
      </c>
      <c r="AC149" s="363">
        <f t="shared" si="34"/>
        <v>0</v>
      </c>
      <c r="AD149" s="363">
        <f t="shared" si="34"/>
        <v>0</v>
      </c>
      <c r="AE149" s="363">
        <f t="shared" si="34"/>
        <v>0</v>
      </c>
      <c r="AF149" s="363">
        <f t="shared" si="34"/>
        <v>0</v>
      </c>
      <c r="AG149" s="363">
        <f t="shared" si="34"/>
        <v>0</v>
      </c>
      <c r="AH149" s="363">
        <f t="shared" si="34"/>
        <v>0</v>
      </c>
      <c r="AI149" s="363">
        <f t="shared" si="34"/>
        <v>0</v>
      </c>
      <c r="AJ149" s="363">
        <f t="shared" si="34"/>
        <v>0</v>
      </c>
      <c r="AK149" s="363">
        <f t="shared" si="34"/>
        <v>0</v>
      </c>
      <c r="AL149" s="363">
        <f t="shared" si="34"/>
        <v>0</v>
      </c>
      <c r="AM149" s="363">
        <f t="shared" si="34"/>
        <v>0</v>
      </c>
      <c r="AN149" s="363">
        <f t="shared" si="34"/>
        <v>0</v>
      </c>
      <c r="AO149" s="363">
        <f t="shared" si="34"/>
        <v>0</v>
      </c>
      <c r="AP149" s="363">
        <f t="shared" si="34"/>
        <v>0</v>
      </c>
      <c r="AQ149" s="363">
        <f t="shared" si="34"/>
        <v>0</v>
      </c>
      <c r="AR149" s="363">
        <f t="shared" si="34"/>
        <v>0</v>
      </c>
      <c r="AS149" s="363">
        <f t="shared" si="34"/>
        <v>0</v>
      </c>
      <c r="AT149" s="363">
        <f t="shared" si="34"/>
        <v>0</v>
      </c>
      <c r="AU149" s="363">
        <f t="shared" si="34"/>
        <v>0</v>
      </c>
      <c r="AV149" s="363">
        <f t="shared" si="34"/>
        <v>0</v>
      </c>
    </row>
    <row r="150" spans="1:48" x14ac:dyDescent="0.25">
      <c r="A150" s="350" t="s">
        <v>1443</v>
      </c>
      <c r="B150" t="s">
        <v>1461</v>
      </c>
      <c r="C150" t="s">
        <v>1533</v>
      </c>
      <c r="D150">
        <f t="shared" si="35"/>
        <v>0</v>
      </c>
      <c r="E150">
        <f t="shared" si="35"/>
        <v>0</v>
      </c>
      <c r="F150">
        <f t="shared" si="35"/>
        <v>0</v>
      </c>
      <c r="G150">
        <f t="shared" si="35"/>
        <v>0</v>
      </c>
      <c r="H150">
        <f t="shared" si="35"/>
        <v>0</v>
      </c>
      <c r="I150">
        <f t="shared" si="35"/>
        <v>0</v>
      </c>
      <c r="J150">
        <f t="shared" si="35"/>
        <v>0</v>
      </c>
      <c r="K150">
        <f t="shared" si="35"/>
        <v>0</v>
      </c>
      <c r="L150">
        <f t="shared" si="35"/>
        <v>0</v>
      </c>
      <c r="M150">
        <f t="shared" si="35"/>
        <v>0</v>
      </c>
      <c r="N150">
        <f t="shared" si="35"/>
        <v>0</v>
      </c>
      <c r="O150" s="363">
        <f t="shared" si="31"/>
        <v>0</v>
      </c>
      <c r="P150" s="363">
        <f t="shared" si="34"/>
        <v>0</v>
      </c>
      <c r="Q150" s="363">
        <f t="shared" si="34"/>
        <v>0</v>
      </c>
      <c r="R150" s="363">
        <f t="shared" si="34"/>
        <v>0</v>
      </c>
      <c r="S150" s="363">
        <f t="shared" si="34"/>
        <v>0</v>
      </c>
      <c r="T150" s="363">
        <f t="shared" si="34"/>
        <v>0</v>
      </c>
      <c r="U150" s="363">
        <f t="shared" si="34"/>
        <v>0</v>
      </c>
      <c r="V150" s="363">
        <f t="shared" si="34"/>
        <v>0</v>
      </c>
      <c r="W150" s="363">
        <f t="shared" si="34"/>
        <v>0</v>
      </c>
      <c r="X150" s="363">
        <f t="shared" si="34"/>
        <v>0</v>
      </c>
      <c r="Y150" s="363">
        <f t="shared" si="34"/>
        <v>0</v>
      </c>
      <c r="Z150" s="363">
        <f t="shared" si="34"/>
        <v>0</v>
      </c>
      <c r="AA150" s="363">
        <f t="shared" si="34"/>
        <v>0</v>
      </c>
      <c r="AB150" s="363">
        <f t="shared" si="34"/>
        <v>0</v>
      </c>
      <c r="AC150" s="363">
        <f t="shared" si="34"/>
        <v>0</v>
      </c>
      <c r="AD150" s="363">
        <f t="shared" si="34"/>
        <v>0</v>
      </c>
      <c r="AE150" s="363">
        <f t="shared" si="34"/>
        <v>0</v>
      </c>
      <c r="AF150" s="363">
        <f t="shared" si="34"/>
        <v>0</v>
      </c>
      <c r="AG150" s="363">
        <f t="shared" si="34"/>
        <v>0</v>
      </c>
      <c r="AH150" s="363">
        <f t="shared" si="34"/>
        <v>0</v>
      </c>
      <c r="AI150" s="363">
        <f t="shared" si="34"/>
        <v>0</v>
      </c>
      <c r="AJ150" s="363">
        <f t="shared" si="34"/>
        <v>0</v>
      </c>
      <c r="AK150" s="363">
        <f t="shared" si="34"/>
        <v>0</v>
      </c>
      <c r="AL150" s="363">
        <f t="shared" si="34"/>
        <v>0</v>
      </c>
      <c r="AM150" s="363">
        <f t="shared" si="34"/>
        <v>0</v>
      </c>
      <c r="AN150" s="363">
        <f t="shared" si="34"/>
        <v>0</v>
      </c>
      <c r="AO150" s="363">
        <f t="shared" si="34"/>
        <v>0</v>
      </c>
      <c r="AP150" s="363">
        <f t="shared" si="34"/>
        <v>0</v>
      </c>
      <c r="AQ150" s="363">
        <f t="shared" si="34"/>
        <v>0</v>
      </c>
      <c r="AR150" s="363">
        <f t="shared" si="34"/>
        <v>0</v>
      </c>
      <c r="AS150" s="363">
        <f t="shared" si="34"/>
        <v>0</v>
      </c>
      <c r="AT150" s="363">
        <f t="shared" si="34"/>
        <v>0</v>
      </c>
      <c r="AU150" s="363">
        <f t="shared" si="34"/>
        <v>0</v>
      </c>
      <c r="AV150" s="363">
        <f t="shared" si="34"/>
        <v>0</v>
      </c>
    </row>
    <row r="151" spans="1:48" x14ac:dyDescent="0.25">
      <c r="A151" s="350" t="s">
        <v>1444</v>
      </c>
      <c r="B151" t="s">
        <v>1461</v>
      </c>
      <c r="C151" t="s">
        <v>1533</v>
      </c>
      <c r="D151">
        <f t="shared" si="35"/>
        <v>0</v>
      </c>
      <c r="E151">
        <f t="shared" si="35"/>
        <v>0</v>
      </c>
      <c r="F151">
        <f t="shared" si="35"/>
        <v>0</v>
      </c>
      <c r="G151">
        <f t="shared" si="35"/>
        <v>0</v>
      </c>
      <c r="H151">
        <f t="shared" si="35"/>
        <v>0</v>
      </c>
      <c r="I151">
        <f t="shared" si="35"/>
        <v>0</v>
      </c>
      <c r="J151">
        <f t="shared" si="35"/>
        <v>0</v>
      </c>
      <c r="K151">
        <f t="shared" si="35"/>
        <v>0</v>
      </c>
      <c r="L151">
        <f t="shared" si="35"/>
        <v>0</v>
      </c>
      <c r="M151">
        <f t="shared" si="35"/>
        <v>0</v>
      </c>
      <c r="N151">
        <f t="shared" si="35"/>
        <v>0</v>
      </c>
      <c r="O151" s="363">
        <f t="shared" si="31"/>
        <v>0</v>
      </c>
      <c r="P151" s="363">
        <f t="shared" si="34"/>
        <v>0</v>
      </c>
      <c r="Q151" s="363">
        <f t="shared" si="34"/>
        <v>0</v>
      </c>
      <c r="R151" s="363">
        <f t="shared" si="34"/>
        <v>0</v>
      </c>
      <c r="S151" s="363">
        <f t="shared" si="34"/>
        <v>0</v>
      </c>
      <c r="T151" s="363">
        <f t="shared" si="34"/>
        <v>0</v>
      </c>
      <c r="U151" s="363">
        <f t="shared" si="34"/>
        <v>0</v>
      </c>
      <c r="V151" s="363">
        <f t="shared" si="34"/>
        <v>0</v>
      </c>
      <c r="W151" s="363">
        <f t="shared" si="34"/>
        <v>0</v>
      </c>
      <c r="X151" s="363">
        <f t="shared" si="34"/>
        <v>0</v>
      </c>
      <c r="Y151" s="363">
        <f t="shared" si="34"/>
        <v>0</v>
      </c>
      <c r="Z151" s="363">
        <f t="shared" si="34"/>
        <v>0</v>
      </c>
      <c r="AA151" s="363">
        <f t="shared" si="34"/>
        <v>0</v>
      </c>
      <c r="AB151" s="363">
        <f t="shared" si="34"/>
        <v>0</v>
      </c>
      <c r="AC151" s="363">
        <f t="shared" si="34"/>
        <v>0</v>
      </c>
      <c r="AD151" s="363">
        <f t="shared" si="34"/>
        <v>0</v>
      </c>
      <c r="AE151" s="363">
        <f t="shared" si="34"/>
        <v>0</v>
      </c>
      <c r="AF151" s="363">
        <f t="shared" si="34"/>
        <v>0</v>
      </c>
      <c r="AG151" s="363">
        <f t="shared" si="34"/>
        <v>0</v>
      </c>
      <c r="AH151" s="363">
        <f t="shared" si="34"/>
        <v>0</v>
      </c>
      <c r="AI151" s="363">
        <f t="shared" si="34"/>
        <v>0</v>
      </c>
      <c r="AJ151" s="363">
        <f t="shared" si="34"/>
        <v>0</v>
      </c>
      <c r="AK151" s="363">
        <f t="shared" si="34"/>
        <v>0</v>
      </c>
      <c r="AL151" s="363">
        <f t="shared" si="34"/>
        <v>0</v>
      </c>
      <c r="AM151" s="363">
        <f t="shared" si="34"/>
        <v>0</v>
      </c>
      <c r="AN151" s="363">
        <f t="shared" si="34"/>
        <v>0</v>
      </c>
      <c r="AO151" s="363">
        <f t="shared" si="34"/>
        <v>0</v>
      </c>
      <c r="AP151" s="363">
        <f t="shared" si="34"/>
        <v>0</v>
      </c>
      <c r="AQ151" s="363">
        <f t="shared" si="34"/>
        <v>0</v>
      </c>
      <c r="AR151" s="363">
        <f t="shared" si="34"/>
        <v>0</v>
      </c>
      <c r="AS151" s="363">
        <f t="shared" si="34"/>
        <v>0</v>
      </c>
      <c r="AT151" s="363">
        <f t="shared" si="34"/>
        <v>0</v>
      </c>
      <c r="AU151" s="363">
        <f t="shared" si="34"/>
        <v>0</v>
      </c>
      <c r="AV151" s="363">
        <f t="shared" si="34"/>
        <v>0</v>
      </c>
    </row>
    <row r="152" spans="1:48" x14ac:dyDescent="0.25">
      <c r="A152" s="350" t="s">
        <v>1445</v>
      </c>
      <c r="B152" t="s">
        <v>229</v>
      </c>
      <c r="C152" t="s">
        <v>1533</v>
      </c>
      <c r="D152">
        <f t="shared" si="35"/>
        <v>0</v>
      </c>
      <c r="E152">
        <f t="shared" si="35"/>
        <v>0</v>
      </c>
      <c r="F152">
        <f t="shared" si="35"/>
        <v>0</v>
      </c>
      <c r="G152">
        <f t="shared" si="35"/>
        <v>0</v>
      </c>
      <c r="H152">
        <f t="shared" si="35"/>
        <v>0</v>
      </c>
      <c r="I152">
        <f t="shared" si="35"/>
        <v>0</v>
      </c>
      <c r="J152">
        <f t="shared" si="35"/>
        <v>0</v>
      </c>
      <c r="K152">
        <f t="shared" si="35"/>
        <v>0</v>
      </c>
      <c r="L152">
        <f t="shared" si="35"/>
        <v>0</v>
      </c>
      <c r="M152">
        <f t="shared" si="35"/>
        <v>0</v>
      </c>
      <c r="N152">
        <f t="shared" si="35"/>
        <v>0</v>
      </c>
      <c r="O152" s="363">
        <f t="shared" si="31"/>
        <v>0</v>
      </c>
      <c r="P152" s="363">
        <f t="shared" si="34"/>
        <v>0</v>
      </c>
      <c r="Q152" s="363">
        <f t="shared" si="34"/>
        <v>0</v>
      </c>
      <c r="R152" s="363">
        <f t="shared" si="34"/>
        <v>0</v>
      </c>
      <c r="S152" s="363">
        <f t="shared" si="34"/>
        <v>0</v>
      </c>
      <c r="T152" s="363">
        <f t="shared" si="34"/>
        <v>0</v>
      </c>
      <c r="U152" s="363">
        <f t="shared" si="34"/>
        <v>0</v>
      </c>
      <c r="V152" s="363">
        <f t="shared" si="34"/>
        <v>0</v>
      </c>
      <c r="W152" s="363">
        <f t="shared" si="34"/>
        <v>0</v>
      </c>
      <c r="X152" s="363">
        <f t="shared" si="34"/>
        <v>0</v>
      </c>
      <c r="Y152" s="363">
        <f t="shared" si="34"/>
        <v>0</v>
      </c>
      <c r="Z152" s="363">
        <f t="shared" si="34"/>
        <v>0</v>
      </c>
      <c r="AA152" s="363">
        <f t="shared" si="34"/>
        <v>0</v>
      </c>
      <c r="AB152" s="363">
        <f t="shared" si="34"/>
        <v>0</v>
      </c>
      <c r="AC152" s="363">
        <f t="shared" si="34"/>
        <v>0</v>
      </c>
      <c r="AD152" s="363">
        <f t="shared" si="34"/>
        <v>0</v>
      </c>
      <c r="AE152" s="363">
        <f t="shared" si="34"/>
        <v>0</v>
      </c>
      <c r="AF152" s="363">
        <f t="shared" si="34"/>
        <v>0</v>
      </c>
      <c r="AG152" s="363">
        <f t="shared" si="34"/>
        <v>0</v>
      </c>
      <c r="AH152" s="363">
        <f t="shared" si="34"/>
        <v>0</v>
      </c>
      <c r="AI152" s="363">
        <f t="shared" si="34"/>
        <v>0</v>
      </c>
      <c r="AJ152" s="363">
        <f t="shared" si="34"/>
        <v>0</v>
      </c>
      <c r="AK152" s="363">
        <f t="shared" si="34"/>
        <v>0</v>
      </c>
      <c r="AL152" s="363">
        <f t="shared" si="34"/>
        <v>0</v>
      </c>
      <c r="AM152" s="363">
        <f t="shared" si="34"/>
        <v>0</v>
      </c>
      <c r="AN152" s="363">
        <f t="shared" si="34"/>
        <v>0</v>
      </c>
      <c r="AO152" s="363">
        <f t="shared" si="34"/>
        <v>0</v>
      </c>
      <c r="AP152" s="363">
        <f t="shared" si="34"/>
        <v>0</v>
      </c>
      <c r="AQ152" s="363">
        <f t="shared" si="34"/>
        <v>0</v>
      </c>
      <c r="AR152" s="363">
        <f t="shared" si="34"/>
        <v>0</v>
      </c>
      <c r="AS152" s="363">
        <f t="shared" si="34"/>
        <v>0</v>
      </c>
      <c r="AT152" s="363">
        <f t="shared" ref="P152:AV160" si="36">IFERROR(IF($N152-$D152&gt;=0,($N152-$D152)/COUNT($E$1:$N$1)+AS152,$F506*$E506^AT$1),0)</f>
        <v>0</v>
      </c>
      <c r="AU152" s="363">
        <f t="shared" si="36"/>
        <v>0</v>
      </c>
      <c r="AV152" s="363">
        <f t="shared" si="36"/>
        <v>0</v>
      </c>
    </row>
    <row r="153" spans="1:48" x14ac:dyDescent="0.25">
      <c r="A153" s="351" t="s">
        <v>1724</v>
      </c>
      <c r="B153" t="s">
        <v>295</v>
      </c>
      <c r="C153" t="s">
        <v>1533</v>
      </c>
      <c r="D153">
        <f t="shared" si="35"/>
        <v>0</v>
      </c>
      <c r="E153">
        <f t="shared" si="35"/>
        <v>0</v>
      </c>
      <c r="F153">
        <f t="shared" si="35"/>
        <v>0</v>
      </c>
      <c r="G153">
        <f t="shared" si="35"/>
        <v>0</v>
      </c>
      <c r="H153">
        <f t="shared" si="35"/>
        <v>0</v>
      </c>
      <c r="I153">
        <f t="shared" si="35"/>
        <v>0</v>
      </c>
      <c r="J153">
        <f t="shared" si="35"/>
        <v>0</v>
      </c>
      <c r="K153">
        <f t="shared" si="35"/>
        <v>0</v>
      </c>
      <c r="L153">
        <f t="shared" si="35"/>
        <v>0</v>
      </c>
      <c r="M153">
        <f t="shared" si="35"/>
        <v>0</v>
      </c>
      <c r="N153">
        <f t="shared" si="35"/>
        <v>0</v>
      </c>
      <c r="O153" s="363">
        <f t="shared" si="31"/>
        <v>0</v>
      </c>
      <c r="P153" s="363">
        <f t="shared" si="36"/>
        <v>0</v>
      </c>
      <c r="Q153" s="363">
        <f t="shared" si="36"/>
        <v>0</v>
      </c>
      <c r="R153" s="363">
        <f t="shared" si="36"/>
        <v>0</v>
      </c>
      <c r="S153" s="363">
        <f t="shared" si="36"/>
        <v>0</v>
      </c>
      <c r="T153" s="363">
        <f t="shared" si="36"/>
        <v>0</v>
      </c>
      <c r="U153" s="363">
        <f t="shared" si="36"/>
        <v>0</v>
      </c>
      <c r="V153" s="363">
        <f t="shared" si="36"/>
        <v>0</v>
      </c>
      <c r="W153" s="363">
        <f t="shared" si="36"/>
        <v>0</v>
      </c>
      <c r="X153" s="363">
        <f t="shared" si="36"/>
        <v>0</v>
      </c>
      <c r="Y153" s="363">
        <f t="shared" si="36"/>
        <v>0</v>
      </c>
      <c r="Z153" s="363">
        <f t="shared" si="36"/>
        <v>0</v>
      </c>
      <c r="AA153" s="363">
        <f t="shared" si="36"/>
        <v>0</v>
      </c>
      <c r="AB153" s="363">
        <f t="shared" si="36"/>
        <v>0</v>
      </c>
      <c r="AC153" s="363">
        <f t="shared" si="36"/>
        <v>0</v>
      </c>
      <c r="AD153" s="363">
        <f t="shared" si="36"/>
        <v>0</v>
      </c>
      <c r="AE153" s="363">
        <f t="shared" si="36"/>
        <v>0</v>
      </c>
      <c r="AF153" s="363">
        <f t="shared" si="36"/>
        <v>0</v>
      </c>
      <c r="AG153" s="363">
        <f t="shared" si="36"/>
        <v>0</v>
      </c>
      <c r="AH153" s="363">
        <f t="shared" si="36"/>
        <v>0</v>
      </c>
      <c r="AI153" s="363">
        <f t="shared" si="36"/>
        <v>0</v>
      </c>
      <c r="AJ153" s="363">
        <f t="shared" si="36"/>
        <v>0</v>
      </c>
      <c r="AK153" s="363">
        <f t="shared" si="36"/>
        <v>0</v>
      </c>
      <c r="AL153" s="363">
        <f t="shared" si="36"/>
        <v>0</v>
      </c>
      <c r="AM153" s="363">
        <f t="shared" si="36"/>
        <v>0</v>
      </c>
      <c r="AN153" s="363">
        <f t="shared" si="36"/>
        <v>0</v>
      </c>
      <c r="AO153" s="363">
        <f t="shared" si="36"/>
        <v>0</v>
      </c>
      <c r="AP153" s="363">
        <f t="shared" si="36"/>
        <v>0</v>
      </c>
      <c r="AQ153" s="363">
        <f t="shared" si="36"/>
        <v>0</v>
      </c>
      <c r="AR153" s="363">
        <f t="shared" si="36"/>
        <v>0</v>
      </c>
      <c r="AS153" s="363">
        <f t="shared" si="36"/>
        <v>0</v>
      </c>
      <c r="AT153" s="363">
        <f t="shared" si="36"/>
        <v>0</v>
      </c>
      <c r="AU153" s="363">
        <f t="shared" si="36"/>
        <v>0</v>
      </c>
      <c r="AV153" s="363">
        <f t="shared" si="36"/>
        <v>0</v>
      </c>
    </row>
    <row r="154" spans="1:48" x14ac:dyDescent="0.25">
      <c r="A154" s="350" t="s">
        <v>1447</v>
      </c>
      <c r="B154" t="s">
        <v>229</v>
      </c>
      <c r="C154" t="s">
        <v>1533</v>
      </c>
      <c r="D154">
        <f t="shared" si="35"/>
        <v>0</v>
      </c>
      <c r="E154">
        <f t="shared" si="35"/>
        <v>0</v>
      </c>
      <c r="F154">
        <f t="shared" si="35"/>
        <v>0</v>
      </c>
      <c r="G154">
        <f t="shared" si="35"/>
        <v>0</v>
      </c>
      <c r="H154">
        <f t="shared" si="35"/>
        <v>0</v>
      </c>
      <c r="I154">
        <f t="shared" si="35"/>
        <v>0</v>
      </c>
      <c r="J154">
        <f t="shared" si="35"/>
        <v>0</v>
      </c>
      <c r="K154">
        <f t="shared" si="35"/>
        <v>0</v>
      </c>
      <c r="L154">
        <f t="shared" si="35"/>
        <v>0</v>
      </c>
      <c r="M154">
        <f t="shared" si="35"/>
        <v>0</v>
      </c>
      <c r="N154">
        <f t="shared" si="35"/>
        <v>0</v>
      </c>
      <c r="O154" s="363">
        <f t="shared" si="31"/>
        <v>0</v>
      </c>
      <c r="P154" s="363">
        <f t="shared" si="36"/>
        <v>0</v>
      </c>
      <c r="Q154" s="363">
        <f t="shared" si="36"/>
        <v>0</v>
      </c>
      <c r="R154" s="363">
        <f t="shared" si="36"/>
        <v>0</v>
      </c>
      <c r="S154" s="363">
        <f t="shared" si="36"/>
        <v>0</v>
      </c>
      <c r="T154" s="363">
        <f t="shared" si="36"/>
        <v>0</v>
      </c>
      <c r="U154" s="363">
        <f t="shared" si="36"/>
        <v>0</v>
      </c>
      <c r="V154" s="363">
        <f t="shared" si="36"/>
        <v>0</v>
      </c>
      <c r="W154" s="363">
        <f t="shared" si="36"/>
        <v>0</v>
      </c>
      <c r="X154" s="363">
        <f t="shared" si="36"/>
        <v>0</v>
      </c>
      <c r="Y154" s="363">
        <f t="shared" si="36"/>
        <v>0</v>
      </c>
      <c r="Z154" s="363">
        <f t="shared" si="36"/>
        <v>0</v>
      </c>
      <c r="AA154" s="363">
        <f t="shared" si="36"/>
        <v>0</v>
      </c>
      <c r="AB154" s="363">
        <f t="shared" si="36"/>
        <v>0</v>
      </c>
      <c r="AC154" s="363">
        <f t="shared" si="36"/>
        <v>0</v>
      </c>
      <c r="AD154" s="363">
        <f t="shared" si="36"/>
        <v>0</v>
      </c>
      <c r="AE154" s="363">
        <f t="shared" si="36"/>
        <v>0</v>
      </c>
      <c r="AF154" s="363">
        <f t="shared" si="36"/>
        <v>0</v>
      </c>
      <c r="AG154" s="363">
        <f t="shared" si="36"/>
        <v>0</v>
      </c>
      <c r="AH154" s="363">
        <f t="shared" si="36"/>
        <v>0</v>
      </c>
      <c r="AI154" s="363">
        <f t="shared" si="36"/>
        <v>0</v>
      </c>
      <c r="AJ154" s="363">
        <f t="shared" si="36"/>
        <v>0</v>
      </c>
      <c r="AK154" s="363">
        <f t="shared" si="36"/>
        <v>0</v>
      </c>
      <c r="AL154" s="363">
        <f t="shared" si="36"/>
        <v>0</v>
      </c>
      <c r="AM154" s="363">
        <f t="shared" si="36"/>
        <v>0</v>
      </c>
      <c r="AN154" s="363">
        <f t="shared" si="36"/>
        <v>0</v>
      </c>
      <c r="AO154" s="363">
        <f t="shared" si="36"/>
        <v>0</v>
      </c>
      <c r="AP154" s="363">
        <f t="shared" si="36"/>
        <v>0</v>
      </c>
      <c r="AQ154" s="363">
        <f t="shared" si="36"/>
        <v>0</v>
      </c>
      <c r="AR154" s="363">
        <f t="shared" si="36"/>
        <v>0</v>
      </c>
      <c r="AS154" s="363">
        <f t="shared" si="36"/>
        <v>0</v>
      </c>
      <c r="AT154" s="363">
        <f t="shared" si="36"/>
        <v>0</v>
      </c>
      <c r="AU154" s="363">
        <f t="shared" si="36"/>
        <v>0</v>
      </c>
      <c r="AV154" s="363">
        <f t="shared" si="36"/>
        <v>0</v>
      </c>
    </row>
    <row r="155" spans="1:48" x14ac:dyDescent="0.25">
      <c r="A155" s="350" t="s">
        <v>1448</v>
      </c>
      <c r="B155" t="s">
        <v>228</v>
      </c>
      <c r="C155" t="s">
        <v>1533</v>
      </c>
      <c r="D155">
        <f t="shared" si="35"/>
        <v>0</v>
      </c>
      <c r="E155">
        <f t="shared" si="35"/>
        <v>0</v>
      </c>
      <c r="F155">
        <f t="shared" si="35"/>
        <v>0</v>
      </c>
      <c r="G155">
        <f t="shared" si="35"/>
        <v>0</v>
      </c>
      <c r="H155">
        <f t="shared" si="35"/>
        <v>0</v>
      </c>
      <c r="I155">
        <f t="shared" si="35"/>
        <v>0</v>
      </c>
      <c r="J155">
        <f t="shared" si="35"/>
        <v>0</v>
      </c>
      <c r="K155">
        <f t="shared" si="35"/>
        <v>0</v>
      </c>
      <c r="L155">
        <f t="shared" si="35"/>
        <v>0</v>
      </c>
      <c r="M155">
        <f t="shared" si="35"/>
        <v>0</v>
      </c>
      <c r="N155">
        <f t="shared" si="35"/>
        <v>0</v>
      </c>
      <c r="O155" s="363">
        <f t="shared" si="31"/>
        <v>0</v>
      </c>
      <c r="P155" s="363">
        <f t="shared" si="36"/>
        <v>0</v>
      </c>
      <c r="Q155" s="363">
        <f t="shared" si="36"/>
        <v>0</v>
      </c>
      <c r="R155" s="363">
        <f t="shared" si="36"/>
        <v>0</v>
      </c>
      <c r="S155" s="363">
        <f t="shared" si="36"/>
        <v>0</v>
      </c>
      <c r="T155" s="363">
        <f t="shared" si="36"/>
        <v>0</v>
      </c>
      <c r="U155" s="363">
        <f t="shared" si="36"/>
        <v>0</v>
      </c>
      <c r="V155" s="363">
        <f t="shared" si="36"/>
        <v>0</v>
      </c>
      <c r="W155" s="363">
        <f t="shared" si="36"/>
        <v>0</v>
      </c>
      <c r="X155" s="363">
        <f t="shared" si="36"/>
        <v>0</v>
      </c>
      <c r="Y155" s="363">
        <f t="shared" si="36"/>
        <v>0</v>
      </c>
      <c r="Z155" s="363">
        <f t="shared" si="36"/>
        <v>0</v>
      </c>
      <c r="AA155" s="363">
        <f t="shared" si="36"/>
        <v>0</v>
      </c>
      <c r="AB155" s="363">
        <f t="shared" si="36"/>
        <v>0</v>
      </c>
      <c r="AC155" s="363">
        <f t="shared" si="36"/>
        <v>0</v>
      </c>
      <c r="AD155" s="363">
        <f t="shared" si="36"/>
        <v>0</v>
      </c>
      <c r="AE155" s="363">
        <f t="shared" si="36"/>
        <v>0</v>
      </c>
      <c r="AF155" s="363">
        <f t="shared" si="36"/>
        <v>0</v>
      </c>
      <c r="AG155" s="363">
        <f t="shared" si="36"/>
        <v>0</v>
      </c>
      <c r="AH155" s="363">
        <f t="shared" si="36"/>
        <v>0</v>
      </c>
      <c r="AI155" s="363">
        <f t="shared" si="36"/>
        <v>0</v>
      </c>
      <c r="AJ155" s="363">
        <f t="shared" si="36"/>
        <v>0</v>
      </c>
      <c r="AK155" s="363">
        <f t="shared" si="36"/>
        <v>0</v>
      </c>
      <c r="AL155" s="363">
        <f t="shared" si="36"/>
        <v>0</v>
      </c>
      <c r="AM155" s="363">
        <f t="shared" si="36"/>
        <v>0</v>
      </c>
      <c r="AN155" s="363">
        <f t="shared" si="36"/>
        <v>0</v>
      </c>
      <c r="AO155" s="363">
        <f t="shared" si="36"/>
        <v>0</v>
      </c>
      <c r="AP155" s="363">
        <f t="shared" si="36"/>
        <v>0</v>
      </c>
      <c r="AQ155" s="363">
        <f t="shared" si="36"/>
        <v>0</v>
      </c>
      <c r="AR155" s="363">
        <f t="shared" si="36"/>
        <v>0</v>
      </c>
      <c r="AS155" s="363">
        <f t="shared" si="36"/>
        <v>0</v>
      </c>
      <c r="AT155" s="363">
        <f t="shared" si="36"/>
        <v>0</v>
      </c>
      <c r="AU155" s="363">
        <f t="shared" si="36"/>
        <v>0</v>
      </c>
      <c r="AV155" s="363">
        <f t="shared" si="36"/>
        <v>0</v>
      </c>
    </row>
    <row r="156" spans="1:48" x14ac:dyDescent="0.25">
      <c r="A156" s="350" t="s">
        <v>1449</v>
      </c>
      <c r="B156" t="s">
        <v>295</v>
      </c>
      <c r="C156" t="s">
        <v>1533</v>
      </c>
      <c r="D156">
        <f t="shared" ref="D156:N168" si="37">IFERROR(INDEX($B$259:$AB$259,MATCH($A156,$A$259,0),MATCH(D$1,$B$176:$AB$176,0)),0)</f>
        <v>0</v>
      </c>
      <c r="E156">
        <f t="shared" si="37"/>
        <v>0</v>
      </c>
      <c r="F156">
        <f t="shared" si="37"/>
        <v>0</v>
      </c>
      <c r="G156">
        <f t="shared" si="37"/>
        <v>0</v>
      </c>
      <c r="H156">
        <f t="shared" si="37"/>
        <v>0</v>
      </c>
      <c r="I156">
        <f t="shared" si="37"/>
        <v>0</v>
      </c>
      <c r="J156">
        <f t="shared" si="37"/>
        <v>0</v>
      </c>
      <c r="K156">
        <f t="shared" si="37"/>
        <v>0</v>
      </c>
      <c r="L156">
        <f t="shared" si="37"/>
        <v>0</v>
      </c>
      <c r="M156">
        <f t="shared" si="37"/>
        <v>0</v>
      </c>
      <c r="N156">
        <f t="shared" si="37"/>
        <v>0</v>
      </c>
      <c r="O156" s="363">
        <f t="shared" si="31"/>
        <v>0</v>
      </c>
      <c r="P156" s="363">
        <f t="shared" si="36"/>
        <v>0</v>
      </c>
      <c r="Q156" s="363">
        <f t="shared" si="36"/>
        <v>0</v>
      </c>
      <c r="R156" s="363">
        <f t="shared" si="36"/>
        <v>0</v>
      </c>
      <c r="S156" s="363">
        <f t="shared" si="36"/>
        <v>0</v>
      </c>
      <c r="T156" s="363">
        <f t="shared" si="36"/>
        <v>0</v>
      </c>
      <c r="U156" s="363">
        <f t="shared" si="36"/>
        <v>0</v>
      </c>
      <c r="V156" s="363">
        <f t="shared" si="36"/>
        <v>0</v>
      </c>
      <c r="W156" s="363">
        <f t="shared" si="36"/>
        <v>0</v>
      </c>
      <c r="X156" s="363">
        <f t="shared" si="36"/>
        <v>0</v>
      </c>
      <c r="Y156" s="363">
        <f t="shared" si="36"/>
        <v>0</v>
      </c>
      <c r="Z156" s="363">
        <f t="shared" si="36"/>
        <v>0</v>
      </c>
      <c r="AA156" s="363">
        <f t="shared" si="36"/>
        <v>0</v>
      </c>
      <c r="AB156" s="363">
        <f t="shared" si="36"/>
        <v>0</v>
      </c>
      <c r="AC156" s="363">
        <f t="shared" si="36"/>
        <v>0</v>
      </c>
      <c r="AD156" s="363">
        <f t="shared" si="36"/>
        <v>0</v>
      </c>
      <c r="AE156" s="363">
        <f t="shared" si="36"/>
        <v>0</v>
      </c>
      <c r="AF156" s="363">
        <f t="shared" si="36"/>
        <v>0</v>
      </c>
      <c r="AG156" s="363">
        <f t="shared" si="36"/>
        <v>0</v>
      </c>
      <c r="AH156" s="363">
        <f t="shared" si="36"/>
        <v>0</v>
      </c>
      <c r="AI156" s="363">
        <f t="shared" si="36"/>
        <v>0</v>
      </c>
      <c r="AJ156" s="363">
        <f t="shared" si="36"/>
        <v>0</v>
      </c>
      <c r="AK156" s="363">
        <f t="shared" si="36"/>
        <v>0</v>
      </c>
      <c r="AL156" s="363">
        <f t="shared" si="36"/>
        <v>0</v>
      </c>
      <c r="AM156" s="363">
        <f t="shared" si="36"/>
        <v>0</v>
      </c>
      <c r="AN156" s="363">
        <f t="shared" si="36"/>
        <v>0</v>
      </c>
      <c r="AO156" s="363">
        <f t="shared" si="36"/>
        <v>0</v>
      </c>
      <c r="AP156" s="363">
        <f t="shared" si="36"/>
        <v>0</v>
      </c>
      <c r="AQ156" s="363">
        <f t="shared" si="36"/>
        <v>0</v>
      </c>
      <c r="AR156" s="363">
        <f t="shared" si="36"/>
        <v>0</v>
      </c>
      <c r="AS156" s="363">
        <f t="shared" si="36"/>
        <v>0</v>
      </c>
      <c r="AT156" s="363">
        <f t="shared" si="36"/>
        <v>0</v>
      </c>
      <c r="AU156" s="363">
        <f t="shared" si="36"/>
        <v>0</v>
      </c>
      <c r="AV156" s="363">
        <f t="shared" si="36"/>
        <v>0</v>
      </c>
    </row>
    <row r="157" spans="1:48" x14ac:dyDescent="0.25">
      <c r="A157" s="350" t="s">
        <v>1450</v>
      </c>
      <c r="B157" t="s">
        <v>295</v>
      </c>
      <c r="C157" t="s">
        <v>1533</v>
      </c>
      <c r="D157">
        <f t="shared" si="37"/>
        <v>0</v>
      </c>
      <c r="E157">
        <f t="shared" si="37"/>
        <v>0</v>
      </c>
      <c r="F157">
        <f t="shared" si="37"/>
        <v>0</v>
      </c>
      <c r="G157">
        <f t="shared" si="37"/>
        <v>0</v>
      </c>
      <c r="H157">
        <f t="shared" si="37"/>
        <v>0</v>
      </c>
      <c r="I157">
        <f t="shared" si="37"/>
        <v>0</v>
      </c>
      <c r="J157">
        <f t="shared" si="37"/>
        <v>0</v>
      </c>
      <c r="K157">
        <f t="shared" si="37"/>
        <v>0</v>
      </c>
      <c r="L157">
        <f t="shared" si="37"/>
        <v>0</v>
      </c>
      <c r="M157">
        <f t="shared" si="37"/>
        <v>0</v>
      </c>
      <c r="N157">
        <f t="shared" si="37"/>
        <v>0</v>
      </c>
      <c r="O157" s="363">
        <f t="shared" si="31"/>
        <v>0</v>
      </c>
      <c r="P157" s="363">
        <f t="shared" si="36"/>
        <v>0</v>
      </c>
      <c r="Q157" s="363">
        <f t="shared" si="36"/>
        <v>0</v>
      </c>
      <c r="R157" s="363">
        <f t="shared" si="36"/>
        <v>0</v>
      </c>
      <c r="S157" s="363">
        <f t="shared" si="36"/>
        <v>0</v>
      </c>
      <c r="T157" s="363">
        <f t="shared" si="36"/>
        <v>0</v>
      </c>
      <c r="U157" s="363">
        <f t="shared" si="36"/>
        <v>0</v>
      </c>
      <c r="V157" s="363">
        <f t="shared" si="36"/>
        <v>0</v>
      </c>
      <c r="W157" s="363">
        <f t="shared" si="36"/>
        <v>0</v>
      </c>
      <c r="X157" s="363">
        <f t="shared" si="36"/>
        <v>0</v>
      </c>
      <c r="Y157" s="363">
        <f t="shared" si="36"/>
        <v>0</v>
      </c>
      <c r="Z157" s="363">
        <f t="shared" si="36"/>
        <v>0</v>
      </c>
      <c r="AA157" s="363">
        <f t="shared" si="36"/>
        <v>0</v>
      </c>
      <c r="AB157" s="363">
        <f t="shared" si="36"/>
        <v>0</v>
      </c>
      <c r="AC157" s="363">
        <f t="shared" si="36"/>
        <v>0</v>
      </c>
      <c r="AD157" s="363">
        <f t="shared" si="36"/>
        <v>0</v>
      </c>
      <c r="AE157" s="363">
        <f t="shared" si="36"/>
        <v>0</v>
      </c>
      <c r="AF157" s="363">
        <f t="shared" si="36"/>
        <v>0</v>
      </c>
      <c r="AG157" s="363">
        <f t="shared" si="36"/>
        <v>0</v>
      </c>
      <c r="AH157" s="363">
        <f t="shared" si="36"/>
        <v>0</v>
      </c>
      <c r="AI157" s="363">
        <f t="shared" si="36"/>
        <v>0</v>
      </c>
      <c r="AJ157" s="363">
        <f t="shared" si="36"/>
        <v>0</v>
      </c>
      <c r="AK157" s="363">
        <f t="shared" si="36"/>
        <v>0</v>
      </c>
      <c r="AL157" s="363">
        <f t="shared" si="36"/>
        <v>0</v>
      </c>
      <c r="AM157" s="363">
        <f t="shared" si="36"/>
        <v>0</v>
      </c>
      <c r="AN157" s="363">
        <f t="shared" si="36"/>
        <v>0</v>
      </c>
      <c r="AO157" s="363">
        <f t="shared" si="36"/>
        <v>0</v>
      </c>
      <c r="AP157" s="363">
        <f t="shared" si="36"/>
        <v>0</v>
      </c>
      <c r="AQ157" s="363">
        <f t="shared" si="36"/>
        <v>0</v>
      </c>
      <c r="AR157" s="363">
        <f t="shared" si="36"/>
        <v>0</v>
      </c>
      <c r="AS157" s="363">
        <f t="shared" si="36"/>
        <v>0</v>
      </c>
      <c r="AT157" s="363">
        <f t="shared" si="36"/>
        <v>0</v>
      </c>
      <c r="AU157" s="363">
        <f t="shared" si="36"/>
        <v>0</v>
      </c>
      <c r="AV157" s="363">
        <f t="shared" si="36"/>
        <v>0</v>
      </c>
    </row>
    <row r="158" spans="1:48" x14ac:dyDescent="0.25">
      <c r="A158" s="350" t="s">
        <v>1451</v>
      </c>
      <c r="B158" t="s">
        <v>295</v>
      </c>
      <c r="C158" t="s">
        <v>1533</v>
      </c>
      <c r="D158">
        <f t="shared" si="37"/>
        <v>0</v>
      </c>
      <c r="E158">
        <f t="shared" si="37"/>
        <v>0</v>
      </c>
      <c r="F158">
        <f t="shared" si="37"/>
        <v>0</v>
      </c>
      <c r="G158">
        <f t="shared" si="37"/>
        <v>0</v>
      </c>
      <c r="H158">
        <f t="shared" si="37"/>
        <v>0</v>
      </c>
      <c r="I158">
        <f t="shared" si="37"/>
        <v>0</v>
      </c>
      <c r="J158">
        <f t="shared" si="37"/>
        <v>0</v>
      </c>
      <c r="K158">
        <f t="shared" si="37"/>
        <v>0</v>
      </c>
      <c r="L158">
        <f t="shared" si="37"/>
        <v>0</v>
      </c>
      <c r="M158">
        <f t="shared" si="37"/>
        <v>0</v>
      </c>
      <c r="N158">
        <f t="shared" si="37"/>
        <v>0</v>
      </c>
      <c r="O158" s="363">
        <f t="shared" si="31"/>
        <v>0</v>
      </c>
      <c r="P158" s="363">
        <f t="shared" si="36"/>
        <v>0</v>
      </c>
      <c r="Q158" s="363">
        <f t="shared" si="36"/>
        <v>0</v>
      </c>
      <c r="R158" s="363">
        <f t="shared" si="36"/>
        <v>0</v>
      </c>
      <c r="S158" s="363">
        <f t="shared" si="36"/>
        <v>0</v>
      </c>
      <c r="T158" s="363">
        <f t="shared" si="36"/>
        <v>0</v>
      </c>
      <c r="U158" s="363">
        <f t="shared" si="36"/>
        <v>0</v>
      </c>
      <c r="V158" s="363">
        <f t="shared" si="36"/>
        <v>0</v>
      </c>
      <c r="W158" s="363">
        <f t="shared" si="36"/>
        <v>0</v>
      </c>
      <c r="X158" s="363">
        <f t="shared" si="36"/>
        <v>0</v>
      </c>
      <c r="Y158" s="363">
        <f t="shared" si="36"/>
        <v>0</v>
      </c>
      <c r="Z158" s="363">
        <f t="shared" si="36"/>
        <v>0</v>
      </c>
      <c r="AA158" s="363">
        <f t="shared" si="36"/>
        <v>0</v>
      </c>
      <c r="AB158" s="363">
        <f t="shared" si="36"/>
        <v>0</v>
      </c>
      <c r="AC158" s="363">
        <f t="shared" si="36"/>
        <v>0</v>
      </c>
      <c r="AD158" s="363">
        <f t="shared" si="36"/>
        <v>0</v>
      </c>
      <c r="AE158" s="363">
        <f t="shared" si="36"/>
        <v>0</v>
      </c>
      <c r="AF158" s="363">
        <f t="shared" si="36"/>
        <v>0</v>
      </c>
      <c r="AG158" s="363">
        <f t="shared" si="36"/>
        <v>0</v>
      </c>
      <c r="AH158" s="363">
        <f t="shared" si="36"/>
        <v>0</v>
      </c>
      <c r="AI158" s="363">
        <f t="shared" si="36"/>
        <v>0</v>
      </c>
      <c r="AJ158" s="363">
        <f t="shared" si="36"/>
        <v>0</v>
      </c>
      <c r="AK158" s="363">
        <f t="shared" si="36"/>
        <v>0</v>
      </c>
      <c r="AL158" s="363">
        <f t="shared" si="36"/>
        <v>0</v>
      </c>
      <c r="AM158" s="363">
        <f t="shared" si="36"/>
        <v>0</v>
      </c>
      <c r="AN158" s="363">
        <f t="shared" si="36"/>
        <v>0</v>
      </c>
      <c r="AO158" s="363">
        <f t="shared" si="36"/>
        <v>0</v>
      </c>
      <c r="AP158" s="363">
        <f t="shared" si="36"/>
        <v>0</v>
      </c>
      <c r="AQ158" s="363">
        <f t="shared" si="36"/>
        <v>0</v>
      </c>
      <c r="AR158" s="363">
        <f t="shared" si="36"/>
        <v>0</v>
      </c>
      <c r="AS158" s="363">
        <f t="shared" si="36"/>
        <v>0</v>
      </c>
      <c r="AT158" s="363">
        <f t="shared" si="36"/>
        <v>0</v>
      </c>
      <c r="AU158" s="363">
        <f t="shared" si="36"/>
        <v>0</v>
      </c>
      <c r="AV158" s="363">
        <f t="shared" si="36"/>
        <v>0</v>
      </c>
    </row>
    <row r="159" spans="1:48" x14ac:dyDescent="0.25">
      <c r="A159" s="350" t="s">
        <v>1452</v>
      </c>
      <c r="B159" t="s">
        <v>229</v>
      </c>
      <c r="C159" t="s">
        <v>1533</v>
      </c>
      <c r="D159">
        <f t="shared" si="37"/>
        <v>0</v>
      </c>
      <c r="E159">
        <f t="shared" si="37"/>
        <v>0</v>
      </c>
      <c r="F159">
        <f t="shared" si="37"/>
        <v>0</v>
      </c>
      <c r="G159">
        <f t="shared" si="37"/>
        <v>0</v>
      </c>
      <c r="H159">
        <f t="shared" si="37"/>
        <v>0</v>
      </c>
      <c r="I159">
        <f t="shared" si="37"/>
        <v>0</v>
      </c>
      <c r="J159">
        <f t="shared" si="37"/>
        <v>0</v>
      </c>
      <c r="K159">
        <f t="shared" si="37"/>
        <v>0</v>
      </c>
      <c r="L159">
        <f t="shared" si="37"/>
        <v>0</v>
      </c>
      <c r="M159">
        <f t="shared" si="37"/>
        <v>0</v>
      </c>
      <c r="N159">
        <f t="shared" si="37"/>
        <v>0</v>
      </c>
      <c r="O159" s="363">
        <f t="shared" si="31"/>
        <v>0</v>
      </c>
      <c r="P159" s="363">
        <f t="shared" si="36"/>
        <v>0</v>
      </c>
      <c r="Q159" s="363">
        <f t="shared" si="36"/>
        <v>0</v>
      </c>
      <c r="R159" s="363">
        <f t="shared" si="36"/>
        <v>0</v>
      </c>
      <c r="S159" s="363">
        <f t="shared" si="36"/>
        <v>0</v>
      </c>
      <c r="T159" s="363">
        <f t="shared" si="36"/>
        <v>0</v>
      </c>
      <c r="U159" s="363">
        <f t="shared" si="36"/>
        <v>0</v>
      </c>
      <c r="V159" s="363">
        <f t="shared" si="36"/>
        <v>0</v>
      </c>
      <c r="W159" s="363">
        <f t="shared" si="36"/>
        <v>0</v>
      </c>
      <c r="X159" s="363">
        <f t="shared" si="36"/>
        <v>0</v>
      </c>
      <c r="Y159" s="363">
        <f t="shared" si="36"/>
        <v>0</v>
      </c>
      <c r="Z159" s="363">
        <f t="shared" si="36"/>
        <v>0</v>
      </c>
      <c r="AA159" s="363">
        <f t="shared" si="36"/>
        <v>0</v>
      </c>
      <c r="AB159" s="363">
        <f t="shared" si="36"/>
        <v>0</v>
      </c>
      <c r="AC159" s="363">
        <f t="shared" si="36"/>
        <v>0</v>
      </c>
      <c r="AD159" s="363">
        <f t="shared" si="36"/>
        <v>0</v>
      </c>
      <c r="AE159" s="363">
        <f t="shared" si="36"/>
        <v>0</v>
      </c>
      <c r="AF159" s="363">
        <f t="shared" si="36"/>
        <v>0</v>
      </c>
      <c r="AG159" s="363">
        <f t="shared" si="36"/>
        <v>0</v>
      </c>
      <c r="AH159" s="363">
        <f t="shared" si="36"/>
        <v>0</v>
      </c>
      <c r="AI159" s="363">
        <f t="shared" si="36"/>
        <v>0</v>
      </c>
      <c r="AJ159" s="363">
        <f t="shared" si="36"/>
        <v>0</v>
      </c>
      <c r="AK159" s="363">
        <f t="shared" si="36"/>
        <v>0</v>
      </c>
      <c r="AL159" s="363">
        <f t="shared" si="36"/>
        <v>0</v>
      </c>
      <c r="AM159" s="363">
        <f t="shared" si="36"/>
        <v>0</v>
      </c>
      <c r="AN159" s="363">
        <f t="shared" si="36"/>
        <v>0</v>
      </c>
      <c r="AO159" s="363">
        <f t="shared" si="36"/>
        <v>0</v>
      </c>
      <c r="AP159" s="363">
        <f t="shared" si="36"/>
        <v>0</v>
      </c>
      <c r="AQ159" s="363">
        <f t="shared" si="36"/>
        <v>0</v>
      </c>
      <c r="AR159" s="363">
        <f t="shared" si="36"/>
        <v>0</v>
      </c>
      <c r="AS159" s="363">
        <f t="shared" si="36"/>
        <v>0</v>
      </c>
      <c r="AT159" s="363">
        <f t="shared" si="36"/>
        <v>0</v>
      </c>
      <c r="AU159" s="363">
        <f t="shared" si="36"/>
        <v>0</v>
      </c>
      <c r="AV159" s="363">
        <f t="shared" si="36"/>
        <v>0</v>
      </c>
    </row>
    <row r="160" spans="1:48" x14ac:dyDescent="0.25">
      <c r="A160" s="350" t="s">
        <v>1453</v>
      </c>
      <c r="B160" t="s">
        <v>295</v>
      </c>
      <c r="C160" t="s">
        <v>1533</v>
      </c>
      <c r="D160">
        <f t="shared" si="37"/>
        <v>0</v>
      </c>
      <c r="E160">
        <f t="shared" si="37"/>
        <v>0</v>
      </c>
      <c r="F160">
        <f t="shared" si="37"/>
        <v>0</v>
      </c>
      <c r="G160">
        <f t="shared" si="37"/>
        <v>0</v>
      </c>
      <c r="H160">
        <f t="shared" si="37"/>
        <v>0</v>
      </c>
      <c r="I160">
        <f t="shared" si="37"/>
        <v>0</v>
      </c>
      <c r="J160">
        <f t="shared" si="37"/>
        <v>0</v>
      </c>
      <c r="K160">
        <f t="shared" si="37"/>
        <v>0</v>
      </c>
      <c r="L160">
        <f t="shared" si="37"/>
        <v>0</v>
      </c>
      <c r="M160">
        <f t="shared" si="37"/>
        <v>0</v>
      </c>
      <c r="N160">
        <f t="shared" si="37"/>
        <v>0</v>
      </c>
      <c r="O160" s="363">
        <f t="shared" si="31"/>
        <v>0</v>
      </c>
      <c r="P160" s="363">
        <f t="shared" si="36"/>
        <v>0</v>
      </c>
      <c r="Q160" s="363">
        <f t="shared" si="36"/>
        <v>0</v>
      </c>
      <c r="R160" s="363">
        <f t="shared" si="36"/>
        <v>0</v>
      </c>
      <c r="S160" s="363">
        <f t="shared" si="36"/>
        <v>0</v>
      </c>
      <c r="T160" s="363">
        <f t="shared" si="36"/>
        <v>0</v>
      </c>
      <c r="U160" s="363">
        <f t="shared" si="36"/>
        <v>0</v>
      </c>
      <c r="V160" s="363">
        <f t="shared" si="36"/>
        <v>0</v>
      </c>
      <c r="W160" s="363">
        <f t="shared" si="36"/>
        <v>0</v>
      </c>
      <c r="X160" s="363">
        <f t="shared" si="36"/>
        <v>0</v>
      </c>
      <c r="Y160" s="363">
        <f t="shared" si="36"/>
        <v>0</v>
      </c>
      <c r="Z160" s="363">
        <f t="shared" si="36"/>
        <v>0</v>
      </c>
      <c r="AA160" s="363">
        <f t="shared" si="36"/>
        <v>0</v>
      </c>
      <c r="AB160" s="363">
        <f t="shared" si="36"/>
        <v>0</v>
      </c>
      <c r="AC160" s="363">
        <f t="shared" si="36"/>
        <v>0</v>
      </c>
      <c r="AD160" s="363">
        <f t="shared" si="36"/>
        <v>0</v>
      </c>
      <c r="AE160" s="363">
        <f t="shared" si="36"/>
        <v>0</v>
      </c>
      <c r="AF160" s="363">
        <f t="shared" si="36"/>
        <v>0</v>
      </c>
      <c r="AG160" s="363">
        <f t="shared" si="36"/>
        <v>0</v>
      </c>
      <c r="AH160" s="363">
        <f t="shared" si="36"/>
        <v>0</v>
      </c>
      <c r="AI160" s="363">
        <f t="shared" si="36"/>
        <v>0</v>
      </c>
      <c r="AJ160" s="363">
        <f t="shared" si="36"/>
        <v>0</v>
      </c>
      <c r="AK160" s="363">
        <f t="shared" ref="P160:AV168" si="38">IFERROR(IF($N160-$D160&gt;=0,($N160-$D160)/COUNT($E$1:$N$1)+AJ160,$F514*$E514^AK$1),0)</f>
        <v>0</v>
      </c>
      <c r="AL160" s="363">
        <f t="shared" si="38"/>
        <v>0</v>
      </c>
      <c r="AM160" s="363">
        <f t="shared" si="38"/>
        <v>0</v>
      </c>
      <c r="AN160" s="363">
        <f t="shared" si="38"/>
        <v>0</v>
      </c>
      <c r="AO160" s="363">
        <f t="shared" si="38"/>
        <v>0</v>
      </c>
      <c r="AP160" s="363">
        <f t="shared" si="38"/>
        <v>0</v>
      </c>
      <c r="AQ160" s="363">
        <f t="shared" si="38"/>
        <v>0</v>
      </c>
      <c r="AR160" s="363">
        <f t="shared" si="38"/>
        <v>0</v>
      </c>
      <c r="AS160" s="363">
        <f t="shared" si="38"/>
        <v>0</v>
      </c>
      <c r="AT160" s="363">
        <f t="shared" si="38"/>
        <v>0</v>
      </c>
      <c r="AU160" s="363">
        <f t="shared" si="38"/>
        <v>0</v>
      </c>
      <c r="AV160" s="363">
        <f t="shared" si="38"/>
        <v>0</v>
      </c>
    </row>
    <row r="161" spans="1:48" x14ac:dyDescent="0.25">
      <c r="A161" s="350" t="s">
        <v>1454</v>
      </c>
      <c r="B161" t="s">
        <v>285</v>
      </c>
      <c r="C161" t="s">
        <v>1533</v>
      </c>
      <c r="D161">
        <f t="shared" si="37"/>
        <v>0</v>
      </c>
      <c r="E161">
        <f t="shared" si="37"/>
        <v>0</v>
      </c>
      <c r="F161">
        <f t="shared" si="37"/>
        <v>0</v>
      </c>
      <c r="G161">
        <f t="shared" si="37"/>
        <v>0</v>
      </c>
      <c r="H161">
        <f t="shared" si="37"/>
        <v>0</v>
      </c>
      <c r="I161">
        <f t="shared" si="37"/>
        <v>0</v>
      </c>
      <c r="J161">
        <f t="shared" si="37"/>
        <v>0</v>
      </c>
      <c r="K161">
        <f t="shared" si="37"/>
        <v>0</v>
      </c>
      <c r="L161">
        <f t="shared" si="37"/>
        <v>0</v>
      </c>
      <c r="M161">
        <f t="shared" si="37"/>
        <v>0</v>
      </c>
      <c r="N161">
        <f t="shared" si="37"/>
        <v>0</v>
      </c>
      <c r="O161" s="363">
        <f t="shared" si="31"/>
        <v>0</v>
      </c>
      <c r="P161" s="363">
        <f t="shared" si="38"/>
        <v>0</v>
      </c>
      <c r="Q161" s="363">
        <f t="shared" si="38"/>
        <v>0</v>
      </c>
      <c r="R161" s="363">
        <f t="shared" si="38"/>
        <v>0</v>
      </c>
      <c r="S161" s="363">
        <f t="shared" si="38"/>
        <v>0</v>
      </c>
      <c r="T161" s="363">
        <f t="shared" si="38"/>
        <v>0</v>
      </c>
      <c r="U161" s="363">
        <f t="shared" si="38"/>
        <v>0</v>
      </c>
      <c r="V161" s="363">
        <f t="shared" si="38"/>
        <v>0</v>
      </c>
      <c r="W161" s="363">
        <f t="shared" si="38"/>
        <v>0</v>
      </c>
      <c r="X161" s="363">
        <f t="shared" si="38"/>
        <v>0</v>
      </c>
      <c r="Y161" s="363">
        <f t="shared" si="38"/>
        <v>0</v>
      </c>
      <c r="Z161" s="363">
        <f t="shared" si="38"/>
        <v>0</v>
      </c>
      <c r="AA161" s="363">
        <f t="shared" si="38"/>
        <v>0</v>
      </c>
      <c r="AB161" s="363">
        <f t="shared" si="38"/>
        <v>0</v>
      </c>
      <c r="AC161" s="363">
        <f t="shared" si="38"/>
        <v>0</v>
      </c>
      <c r="AD161" s="363">
        <f t="shared" si="38"/>
        <v>0</v>
      </c>
      <c r="AE161" s="363">
        <f t="shared" si="38"/>
        <v>0</v>
      </c>
      <c r="AF161" s="363">
        <f t="shared" si="38"/>
        <v>0</v>
      </c>
      <c r="AG161" s="363">
        <f t="shared" si="38"/>
        <v>0</v>
      </c>
      <c r="AH161" s="363">
        <f t="shared" si="38"/>
        <v>0</v>
      </c>
      <c r="AI161" s="363">
        <f t="shared" si="38"/>
        <v>0</v>
      </c>
      <c r="AJ161" s="363">
        <f t="shared" si="38"/>
        <v>0</v>
      </c>
      <c r="AK161" s="363">
        <f t="shared" si="38"/>
        <v>0</v>
      </c>
      <c r="AL161" s="363">
        <f t="shared" si="38"/>
        <v>0</v>
      </c>
      <c r="AM161" s="363">
        <f t="shared" si="38"/>
        <v>0</v>
      </c>
      <c r="AN161" s="363">
        <f t="shared" si="38"/>
        <v>0</v>
      </c>
      <c r="AO161" s="363">
        <f t="shared" si="38"/>
        <v>0</v>
      </c>
      <c r="AP161" s="363">
        <f t="shared" si="38"/>
        <v>0</v>
      </c>
      <c r="AQ161" s="363">
        <f t="shared" si="38"/>
        <v>0</v>
      </c>
      <c r="AR161" s="363">
        <f t="shared" si="38"/>
        <v>0</v>
      </c>
      <c r="AS161" s="363">
        <f t="shared" si="38"/>
        <v>0</v>
      </c>
      <c r="AT161" s="363">
        <f t="shared" si="38"/>
        <v>0</v>
      </c>
      <c r="AU161" s="363">
        <f t="shared" si="38"/>
        <v>0</v>
      </c>
      <c r="AV161" s="363">
        <f t="shared" si="38"/>
        <v>0</v>
      </c>
    </row>
    <row r="162" spans="1:48" x14ac:dyDescent="0.25">
      <c r="A162" s="350" t="s">
        <v>1455</v>
      </c>
      <c r="B162" t="s">
        <v>289</v>
      </c>
      <c r="C162" t="s">
        <v>1533</v>
      </c>
      <c r="D162">
        <f t="shared" si="37"/>
        <v>0</v>
      </c>
      <c r="E162">
        <f t="shared" si="37"/>
        <v>0</v>
      </c>
      <c r="F162">
        <f t="shared" si="37"/>
        <v>0</v>
      </c>
      <c r="G162">
        <f t="shared" si="37"/>
        <v>0</v>
      </c>
      <c r="H162">
        <f t="shared" si="37"/>
        <v>0</v>
      </c>
      <c r="I162">
        <f t="shared" si="37"/>
        <v>0</v>
      </c>
      <c r="J162">
        <f t="shared" si="37"/>
        <v>0</v>
      </c>
      <c r="K162">
        <f t="shared" si="37"/>
        <v>0</v>
      </c>
      <c r="L162">
        <f t="shared" si="37"/>
        <v>0</v>
      </c>
      <c r="M162">
        <f t="shared" si="37"/>
        <v>0</v>
      </c>
      <c r="N162">
        <f t="shared" si="37"/>
        <v>0</v>
      </c>
      <c r="O162" s="363">
        <f t="shared" si="31"/>
        <v>0</v>
      </c>
      <c r="P162" s="363">
        <f t="shared" si="38"/>
        <v>0</v>
      </c>
      <c r="Q162" s="363">
        <f t="shared" si="38"/>
        <v>0</v>
      </c>
      <c r="R162" s="363">
        <f t="shared" si="38"/>
        <v>0</v>
      </c>
      <c r="S162" s="363">
        <f t="shared" si="38"/>
        <v>0</v>
      </c>
      <c r="T162" s="363">
        <f t="shared" si="38"/>
        <v>0</v>
      </c>
      <c r="U162" s="363">
        <f t="shared" si="38"/>
        <v>0</v>
      </c>
      <c r="V162" s="363">
        <f t="shared" si="38"/>
        <v>0</v>
      </c>
      <c r="W162" s="363">
        <f t="shared" si="38"/>
        <v>0</v>
      </c>
      <c r="X162" s="363">
        <f t="shared" si="38"/>
        <v>0</v>
      </c>
      <c r="Y162" s="363">
        <f t="shared" si="38"/>
        <v>0</v>
      </c>
      <c r="Z162" s="363">
        <f t="shared" si="38"/>
        <v>0</v>
      </c>
      <c r="AA162" s="363">
        <f t="shared" si="38"/>
        <v>0</v>
      </c>
      <c r="AB162" s="363">
        <f t="shared" si="38"/>
        <v>0</v>
      </c>
      <c r="AC162" s="363">
        <f t="shared" si="38"/>
        <v>0</v>
      </c>
      <c r="AD162" s="363">
        <f t="shared" si="38"/>
        <v>0</v>
      </c>
      <c r="AE162" s="363">
        <f t="shared" si="38"/>
        <v>0</v>
      </c>
      <c r="AF162" s="363">
        <f t="shared" si="38"/>
        <v>0</v>
      </c>
      <c r="AG162" s="363">
        <f t="shared" si="38"/>
        <v>0</v>
      </c>
      <c r="AH162" s="363">
        <f t="shared" si="38"/>
        <v>0</v>
      </c>
      <c r="AI162" s="363">
        <f t="shared" si="38"/>
        <v>0</v>
      </c>
      <c r="AJ162" s="363">
        <f t="shared" si="38"/>
        <v>0</v>
      </c>
      <c r="AK162" s="363">
        <f t="shared" si="38"/>
        <v>0</v>
      </c>
      <c r="AL162" s="363">
        <f t="shared" si="38"/>
        <v>0</v>
      </c>
      <c r="AM162" s="363">
        <f t="shared" si="38"/>
        <v>0</v>
      </c>
      <c r="AN162" s="363">
        <f t="shared" si="38"/>
        <v>0</v>
      </c>
      <c r="AO162" s="363">
        <f t="shared" si="38"/>
        <v>0</v>
      </c>
      <c r="AP162" s="363">
        <f t="shared" si="38"/>
        <v>0</v>
      </c>
      <c r="AQ162" s="363">
        <f t="shared" si="38"/>
        <v>0</v>
      </c>
      <c r="AR162" s="363">
        <f t="shared" si="38"/>
        <v>0</v>
      </c>
      <c r="AS162" s="363">
        <f t="shared" si="38"/>
        <v>0</v>
      </c>
      <c r="AT162" s="363">
        <f t="shared" si="38"/>
        <v>0</v>
      </c>
      <c r="AU162" s="363">
        <f t="shared" si="38"/>
        <v>0</v>
      </c>
      <c r="AV162" s="363">
        <f t="shared" si="38"/>
        <v>0</v>
      </c>
    </row>
    <row r="163" spans="1:48" x14ac:dyDescent="0.25">
      <c r="A163" s="350" t="s">
        <v>1456</v>
      </c>
      <c r="B163" t="s">
        <v>289</v>
      </c>
      <c r="C163" t="s">
        <v>1533</v>
      </c>
      <c r="D163">
        <f t="shared" si="37"/>
        <v>0</v>
      </c>
      <c r="E163">
        <f t="shared" si="37"/>
        <v>0</v>
      </c>
      <c r="F163">
        <f t="shared" si="37"/>
        <v>0</v>
      </c>
      <c r="G163">
        <f t="shared" si="37"/>
        <v>0</v>
      </c>
      <c r="H163">
        <f t="shared" si="37"/>
        <v>0</v>
      </c>
      <c r="I163">
        <f t="shared" si="37"/>
        <v>0</v>
      </c>
      <c r="J163">
        <f t="shared" si="37"/>
        <v>0</v>
      </c>
      <c r="K163">
        <f t="shared" si="37"/>
        <v>0</v>
      </c>
      <c r="L163">
        <f t="shared" si="37"/>
        <v>0</v>
      </c>
      <c r="M163">
        <f t="shared" si="37"/>
        <v>0</v>
      </c>
      <c r="N163">
        <f t="shared" si="37"/>
        <v>0</v>
      </c>
      <c r="O163" s="363">
        <f t="shared" si="31"/>
        <v>0</v>
      </c>
      <c r="P163" s="363">
        <f t="shared" si="38"/>
        <v>0</v>
      </c>
      <c r="Q163" s="363">
        <f t="shared" si="38"/>
        <v>0</v>
      </c>
      <c r="R163" s="363">
        <f t="shared" si="38"/>
        <v>0</v>
      </c>
      <c r="S163" s="363">
        <f t="shared" si="38"/>
        <v>0</v>
      </c>
      <c r="T163" s="363">
        <f t="shared" si="38"/>
        <v>0</v>
      </c>
      <c r="U163" s="363">
        <f t="shared" si="38"/>
        <v>0</v>
      </c>
      <c r="V163" s="363">
        <f t="shared" si="38"/>
        <v>0</v>
      </c>
      <c r="W163" s="363">
        <f t="shared" si="38"/>
        <v>0</v>
      </c>
      <c r="X163" s="363">
        <f t="shared" si="38"/>
        <v>0</v>
      </c>
      <c r="Y163" s="363">
        <f t="shared" si="38"/>
        <v>0</v>
      </c>
      <c r="Z163" s="363">
        <f t="shared" si="38"/>
        <v>0</v>
      </c>
      <c r="AA163" s="363">
        <f t="shared" si="38"/>
        <v>0</v>
      </c>
      <c r="AB163" s="363">
        <f t="shared" si="38"/>
        <v>0</v>
      </c>
      <c r="AC163" s="363">
        <f t="shared" si="38"/>
        <v>0</v>
      </c>
      <c r="AD163" s="363">
        <f t="shared" si="38"/>
        <v>0</v>
      </c>
      <c r="AE163" s="363">
        <f t="shared" si="38"/>
        <v>0</v>
      </c>
      <c r="AF163" s="363">
        <f t="shared" si="38"/>
        <v>0</v>
      </c>
      <c r="AG163" s="363">
        <f t="shared" si="38"/>
        <v>0</v>
      </c>
      <c r="AH163" s="363">
        <f t="shared" si="38"/>
        <v>0</v>
      </c>
      <c r="AI163" s="363">
        <f t="shared" si="38"/>
        <v>0</v>
      </c>
      <c r="AJ163" s="363">
        <f t="shared" si="38"/>
        <v>0</v>
      </c>
      <c r="AK163" s="363">
        <f t="shared" si="38"/>
        <v>0</v>
      </c>
      <c r="AL163" s="363">
        <f t="shared" si="38"/>
        <v>0</v>
      </c>
      <c r="AM163" s="363">
        <f t="shared" si="38"/>
        <v>0</v>
      </c>
      <c r="AN163" s="363">
        <f t="shared" si="38"/>
        <v>0</v>
      </c>
      <c r="AO163" s="363">
        <f t="shared" si="38"/>
        <v>0</v>
      </c>
      <c r="AP163" s="363">
        <f t="shared" si="38"/>
        <v>0</v>
      </c>
      <c r="AQ163" s="363">
        <f t="shared" si="38"/>
        <v>0</v>
      </c>
      <c r="AR163" s="363">
        <f t="shared" si="38"/>
        <v>0</v>
      </c>
      <c r="AS163" s="363">
        <f t="shared" si="38"/>
        <v>0</v>
      </c>
      <c r="AT163" s="363">
        <f t="shared" si="38"/>
        <v>0</v>
      </c>
      <c r="AU163" s="363">
        <f t="shared" si="38"/>
        <v>0</v>
      </c>
      <c r="AV163" s="363">
        <f t="shared" si="38"/>
        <v>0</v>
      </c>
    </row>
    <row r="164" spans="1:48" x14ac:dyDescent="0.25">
      <c r="A164" s="352" t="s">
        <v>1732</v>
      </c>
      <c r="B164" t="s">
        <v>295</v>
      </c>
      <c r="C164" t="s">
        <v>1533</v>
      </c>
      <c r="D164">
        <f t="shared" si="37"/>
        <v>0</v>
      </c>
      <c r="E164">
        <f t="shared" si="37"/>
        <v>0</v>
      </c>
      <c r="F164">
        <f t="shared" si="37"/>
        <v>0</v>
      </c>
      <c r="G164">
        <f t="shared" si="37"/>
        <v>0</v>
      </c>
      <c r="H164">
        <f t="shared" si="37"/>
        <v>0</v>
      </c>
      <c r="I164">
        <f t="shared" si="37"/>
        <v>0</v>
      </c>
      <c r="J164">
        <f t="shared" si="37"/>
        <v>0</v>
      </c>
      <c r="K164">
        <f t="shared" si="37"/>
        <v>0</v>
      </c>
      <c r="L164">
        <f t="shared" si="37"/>
        <v>0</v>
      </c>
      <c r="M164">
        <f t="shared" si="37"/>
        <v>0</v>
      </c>
      <c r="N164">
        <f t="shared" si="37"/>
        <v>0</v>
      </c>
      <c r="O164" s="363">
        <f t="shared" si="31"/>
        <v>0</v>
      </c>
      <c r="P164" s="363">
        <f t="shared" si="38"/>
        <v>0</v>
      </c>
      <c r="Q164" s="363">
        <f t="shared" si="38"/>
        <v>0</v>
      </c>
      <c r="R164" s="363">
        <f t="shared" si="38"/>
        <v>0</v>
      </c>
      <c r="S164" s="363">
        <f t="shared" si="38"/>
        <v>0</v>
      </c>
      <c r="T164" s="363">
        <f t="shared" si="38"/>
        <v>0</v>
      </c>
      <c r="U164" s="363">
        <f t="shared" si="38"/>
        <v>0</v>
      </c>
      <c r="V164" s="363">
        <f t="shared" si="38"/>
        <v>0</v>
      </c>
      <c r="W164" s="363">
        <f t="shared" si="38"/>
        <v>0</v>
      </c>
      <c r="X164" s="363">
        <f t="shared" si="38"/>
        <v>0</v>
      </c>
      <c r="Y164" s="363">
        <f t="shared" si="38"/>
        <v>0</v>
      </c>
      <c r="Z164" s="363">
        <f t="shared" si="38"/>
        <v>0</v>
      </c>
      <c r="AA164" s="363">
        <f t="shared" si="38"/>
        <v>0</v>
      </c>
      <c r="AB164" s="363">
        <f t="shared" si="38"/>
        <v>0</v>
      </c>
      <c r="AC164" s="363">
        <f t="shared" si="38"/>
        <v>0</v>
      </c>
      <c r="AD164" s="363">
        <f t="shared" si="38"/>
        <v>0</v>
      </c>
      <c r="AE164" s="363">
        <f t="shared" si="38"/>
        <v>0</v>
      </c>
      <c r="AF164" s="363">
        <f t="shared" si="38"/>
        <v>0</v>
      </c>
      <c r="AG164" s="363">
        <f t="shared" si="38"/>
        <v>0</v>
      </c>
      <c r="AH164" s="363">
        <f t="shared" si="38"/>
        <v>0</v>
      </c>
      <c r="AI164" s="363">
        <f t="shared" si="38"/>
        <v>0</v>
      </c>
      <c r="AJ164" s="363">
        <f t="shared" si="38"/>
        <v>0</v>
      </c>
      <c r="AK164" s="363">
        <f t="shared" si="38"/>
        <v>0</v>
      </c>
      <c r="AL164" s="363">
        <f t="shared" si="38"/>
        <v>0</v>
      </c>
      <c r="AM164" s="363">
        <f t="shared" si="38"/>
        <v>0</v>
      </c>
      <c r="AN164" s="363">
        <f t="shared" si="38"/>
        <v>0</v>
      </c>
      <c r="AO164" s="363">
        <f t="shared" si="38"/>
        <v>0</v>
      </c>
      <c r="AP164" s="363">
        <f t="shared" si="38"/>
        <v>0</v>
      </c>
      <c r="AQ164" s="363">
        <f t="shared" si="38"/>
        <v>0</v>
      </c>
      <c r="AR164" s="363">
        <f t="shared" si="38"/>
        <v>0</v>
      </c>
      <c r="AS164" s="363">
        <f t="shared" si="38"/>
        <v>0</v>
      </c>
      <c r="AT164" s="363">
        <f t="shared" si="38"/>
        <v>0</v>
      </c>
      <c r="AU164" s="363">
        <f t="shared" si="38"/>
        <v>0</v>
      </c>
      <c r="AV164" s="363">
        <f t="shared" si="38"/>
        <v>0</v>
      </c>
    </row>
    <row r="165" spans="1:48" x14ac:dyDescent="0.25">
      <c r="A165" s="350" t="s">
        <v>1718</v>
      </c>
      <c r="B165" t="s">
        <v>1461</v>
      </c>
      <c r="C165" t="s">
        <v>1533</v>
      </c>
      <c r="D165">
        <f t="shared" si="37"/>
        <v>0</v>
      </c>
      <c r="E165">
        <f t="shared" si="37"/>
        <v>0</v>
      </c>
      <c r="F165">
        <f t="shared" si="37"/>
        <v>0</v>
      </c>
      <c r="G165">
        <f t="shared" si="37"/>
        <v>0</v>
      </c>
      <c r="H165">
        <f t="shared" si="37"/>
        <v>0</v>
      </c>
      <c r="I165">
        <f t="shared" si="37"/>
        <v>0</v>
      </c>
      <c r="J165">
        <f t="shared" si="37"/>
        <v>0</v>
      </c>
      <c r="K165">
        <f t="shared" si="37"/>
        <v>0</v>
      </c>
      <c r="L165">
        <f t="shared" si="37"/>
        <v>0</v>
      </c>
      <c r="M165">
        <f t="shared" si="37"/>
        <v>0</v>
      </c>
      <c r="N165">
        <f t="shared" si="37"/>
        <v>0</v>
      </c>
      <c r="O165" s="363">
        <f t="shared" si="31"/>
        <v>0</v>
      </c>
      <c r="P165" s="363">
        <f t="shared" si="38"/>
        <v>0</v>
      </c>
      <c r="Q165" s="363">
        <f t="shared" si="38"/>
        <v>0</v>
      </c>
      <c r="R165" s="363">
        <f t="shared" si="38"/>
        <v>0</v>
      </c>
      <c r="S165" s="363">
        <f t="shared" si="38"/>
        <v>0</v>
      </c>
      <c r="T165" s="363">
        <f t="shared" si="38"/>
        <v>0</v>
      </c>
      <c r="U165" s="363">
        <f t="shared" si="38"/>
        <v>0</v>
      </c>
      <c r="V165" s="363">
        <f t="shared" si="38"/>
        <v>0</v>
      </c>
      <c r="W165" s="363">
        <f t="shared" si="38"/>
        <v>0</v>
      </c>
      <c r="X165" s="363">
        <f t="shared" si="38"/>
        <v>0</v>
      </c>
      <c r="Y165" s="363">
        <f t="shared" si="38"/>
        <v>0</v>
      </c>
      <c r="Z165" s="363">
        <f t="shared" si="38"/>
        <v>0</v>
      </c>
      <c r="AA165" s="363">
        <f t="shared" si="38"/>
        <v>0</v>
      </c>
      <c r="AB165" s="363">
        <f t="shared" si="38"/>
        <v>0</v>
      </c>
      <c r="AC165" s="363">
        <f t="shared" si="38"/>
        <v>0</v>
      </c>
      <c r="AD165" s="363">
        <f t="shared" si="38"/>
        <v>0</v>
      </c>
      <c r="AE165" s="363">
        <f t="shared" si="38"/>
        <v>0</v>
      </c>
      <c r="AF165" s="363">
        <f t="shared" si="38"/>
        <v>0</v>
      </c>
      <c r="AG165" s="363">
        <f t="shared" si="38"/>
        <v>0</v>
      </c>
      <c r="AH165" s="363">
        <f t="shared" si="38"/>
        <v>0</v>
      </c>
      <c r="AI165" s="363">
        <f t="shared" si="38"/>
        <v>0</v>
      </c>
      <c r="AJ165" s="363">
        <f t="shared" si="38"/>
        <v>0</v>
      </c>
      <c r="AK165" s="363">
        <f t="shared" si="38"/>
        <v>0</v>
      </c>
      <c r="AL165" s="363">
        <f t="shared" si="38"/>
        <v>0</v>
      </c>
      <c r="AM165" s="363">
        <f t="shared" si="38"/>
        <v>0</v>
      </c>
      <c r="AN165" s="363">
        <f t="shared" si="38"/>
        <v>0</v>
      </c>
      <c r="AO165" s="363">
        <f t="shared" si="38"/>
        <v>0</v>
      </c>
      <c r="AP165" s="363">
        <f t="shared" si="38"/>
        <v>0</v>
      </c>
      <c r="AQ165" s="363">
        <f t="shared" si="38"/>
        <v>0</v>
      </c>
      <c r="AR165" s="363">
        <f t="shared" si="38"/>
        <v>0</v>
      </c>
      <c r="AS165" s="363">
        <f t="shared" si="38"/>
        <v>0</v>
      </c>
      <c r="AT165" s="363">
        <f t="shared" si="38"/>
        <v>0</v>
      </c>
      <c r="AU165" s="363">
        <f t="shared" si="38"/>
        <v>0</v>
      </c>
      <c r="AV165" s="363">
        <f t="shared" si="38"/>
        <v>0</v>
      </c>
    </row>
    <row r="166" spans="1:48" x14ac:dyDescent="0.25">
      <c r="A166" s="350" t="s">
        <v>1719</v>
      </c>
      <c r="B166" t="s">
        <v>295</v>
      </c>
      <c r="C166" t="s">
        <v>1533</v>
      </c>
      <c r="D166">
        <f t="shared" si="37"/>
        <v>0</v>
      </c>
      <c r="E166">
        <f t="shared" si="37"/>
        <v>0</v>
      </c>
      <c r="F166">
        <f t="shared" si="37"/>
        <v>0</v>
      </c>
      <c r="G166">
        <f t="shared" si="37"/>
        <v>0</v>
      </c>
      <c r="H166">
        <f t="shared" si="37"/>
        <v>0</v>
      </c>
      <c r="I166">
        <f t="shared" si="37"/>
        <v>0</v>
      </c>
      <c r="J166">
        <f t="shared" si="37"/>
        <v>0</v>
      </c>
      <c r="K166">
        <f t="shared" si="37"/>
        <v>0</v>
      </c>
      <c r="L166">
        <f t="shared" si="37"/>
        <v>0</v>
      </c>
      <c r="M166">
        <f t="shared" si="37"/>
        <v>0</v>
      </c>
      <c r="N166">
        <f t="shared" si="37"/>
        <v>0</v>
      </c>
      <c r="O166" s="363">
        <f t="shared" si="31"/>
        <v>0</v>
      </c>
      <c r="P166" s="363">
        <f t="shared" si="38"/>
        <v>0</v>
      </c>
      <c r="Q166" s="363">
        <f t="shared" si="38"/>
        <v>0</v>
      </c>
      <c r="R166" s="363">
        <f t="shared" si="38"/>
        <v>0</v>
      </c>
      <c r="S166" s="363">
        <f t="shared" si="38"/>
        <v>0</v>
      </c>
      <c r="T166" s="363">
        <f t="shared" si="38"/>
        <v>0</v>
      </c>
      <c r="U166" s="363">
        <f t="shared" si="38"/>
        <v>0</v>
      </c>
      <c r="V166" s="363">
        <f t="shared" si="38"/>
        <v>0</v>
      </c>
      <c r="W166" s="363">
        <f t="shared" si="38"/>
        <v>0</v>
      </c>
      <c r="X166" s="363">
        <f t="shared" si="38"/>
        <v>0</v>
      </c>
      <c r="Y166" s="363">
        <f t="shared" si="38"/>
        <v>0</v>
      </c>
      <c r="Z166" s="363">
        <f t="shared" si="38"/>
        <v>0</v>
      </c>
      <c r="AA166" s="363">
        <f t="shared" si="38"/>
        <v>0</v>
      </c>
      <c r="AB166" s="363">
        <f t="shared" si="38"/>
        <v>0</v>
      </c>
      <c r="AC166" s="363">
        <f t="shared" si="38"/>
        <v>0</v>
      </c>
      <c r="AD166" s="363">
        <f t="shared" si="38"/>
        <v>0</v>
      </c>
      <c r="AE166" s="363">
        <f t="shared" si="38"/>
        <v>0</v>
      </c>
      <c r="AF166" s="363">
        <f t="shared" si="38"/>
        <v>0</v>
      </c>
      <c r="AG166" s="363">
        <f t="shared" si="38"/>
        <v>0</v>
      </c>
      <c r="AH166" s="363">
        <f t="shared" si="38"/>
        <v>0</v>
      </c>
      <c r="AI166" s="363">
        <f t="shared" si="38"/>
        <v>0</v>
      </c>
      <c r="AJ166" s="363">
        <f t="shared" si="38"/>
        <v>0</v>
      </c>
      <c r="AK166" s="363">
        <f t="shared" si="38"/>
        <v>0</v>
      </c>
      <c r="AL166" s="363">
        <f t="shared" si="38"/>
        <v>0</v>
      </c>
      <c r="AM166" s="363">
        <f t="shared" si="38"/>
        <v>0</v>
      </c>
      <c r="AN166" s="363">
        <f t="shared" si="38"/>
        <v>0</v>
      </c>
      <c r="AO166" s="363">
        <f t="shared" si="38"/>
        <v>0</v>
      </c>
      <c r="AP166" s="363">
        <f t="shared" si="38"/>
        <v>0</v>
      </c>
      <c r="AQ166" s="363">
        <f t="shared" si="38"/>
        <v>0</v>
      </c>
      <c r="AR166" s="363">
        <f t="shared" si="38"/>
        <v>0</v>
      </c>
      <c r="AS166" s="363">
        <f t="shared" si="38"/>
        <v>0</v>
      </c>
      <c r="AT166" s="363">
        <f t="shared" si="38"/>
        <v>0</v>
      </c>
      <c r="AU166" s="363">
        <f t="shared" si="38"/>
        <v>0</v>
      </c>
      <c r="AV166" s="363">
        <f t="shared" si="38"/>
        <v>0</v>
      </c>
    </row>
    <row r="167" spans="1:48" s="103" customFormat="1" x14ac:dyDescent="0.25">
      <c r="A167" s="353" t="s">
        <v>1720</v>
      </c>
      <c r="B167" s="103" t="s">
        <v>1734</v>
      </c>
      <c r="C167" s="103" t="s">
        <v>1533</v>
      </c>
      <c r="D167" s="103">
        <f t="shared" si="37"/>
        <v>0</v>
      </c>
      <c r="E167" s="103">
        <f t="shared" si="37"/>
        <v>0</v>
      </c>
      <c r="F167" s="103">
        <f t="shared" si="37"/>
        <v>0</v>
      </c>
      <c r="G167" s="103">
        <f t="shared" si="37"/>
        <v>0</v>
      </c>
      <c r="H167" s="103">
        <f t="shared" si="37"/>
        <v>0</v>
      </c>
      <c r="I167" s="103">
        <f t="shared" si="37"/>
        <v>0</v>
      </c>
      <c r="J167" s="103">
        <f t="shared" si="37"/>
        <v>0</v>
      </c>
      <c r="K167" s="103">
        <f t="shared" si="37"/>
        <v>0</v>
      </c>
      <c r="L167" s="103">
        <f t="shared" si="37"/>
        <v>0</v>
      </c>
      <c r="M167" s="103">
        <f t="shared" si="37"/>
        <v>0</v>
      </c>
      <c r="N167" s="103">
        <f t="shared" si="37"/>
        <v>0</v>
      </c>
      <c r="O167" s="363">
        <f t="shared" si="31"/>
        <v>0</v>
      </c>
      <c r="P167" s="363">
        <f t="shared" si="38"/>
        <v>0</v>
      </c>
      <c r="Q167" s="363">
        <f t="shared" si="38"/>
        <v>0</v>
      </c>
      <c r="R167" s="363">
        <f t="shared" si="38"/>
        <v>0</v>
      </c>
      <c r="S167" s="363">
        <f t="shared" si="38"/>
        <v>0</v>
      </c>
      <c r="T167" s="363">
        <f t="shared" si="38"/>
        <v>0</v>
      </c>
      <c r="U167" s="363">
        <f t="shared" si="38"/>
        <v>0</v>
      </c>
      <c r="V167" s="363">
        <f t="shared" si="38"/>
        <v>0</v>
      </c>
      <c r="W167" s="363">
        <f t="shared" si="38"/>
        <v>0</v>
      </c>
      <c r="X167" s="363">
        <f t="shared" si="38"/>
        <v>0</v>
      </c>
      <c r="Y167" s="363">
        <f t="shared" si="38"/>
        <v>0</v>
      </c>
      <c r="Z167" s="363">
        <f t="shared" si="38"/>
        <v>0</v>
      </c>
      <c r="AA167" s="363">
        <f t="shared" si="38"/>
        <v>0</v>
      </c>
      <c r="AB167" s="363">
        <f t="shared" si="38"/>
        <v>0</v>
      </c>
      <c r="AC167" s="363">
        <f t="shared" si="38"/>
        <v>0</v>
      </c>
      <c r="AD167" s="363">
        <f t="shared" si="38"/>
        <v>0</v>
      </c>
      <c r="AE167" s="363">
        <f t="shared" si="38"/>
        <v>0</v>
      </c>
      <c r="AF167" s="363">
        <f t="shared" si="38"/>
        <v>0</v>
      </c>
      <c r="AG167" s="363">
        <f t="shared" si="38"/>
        <v>0</v>
      </c>
      <c r="AH167" s="363">
        <f t="shared" si="38"/>
        <v>0</v>
      </c>
      <c r="AI167" s="363">
        <f t="shared" si="38"/>
        <v>0</v>
      </c>
      <c r="AJ167" s="363">
        <f t="shared" si="38"/>
        <v>0</v>
      </c>
      <c r="AK167" s="363">
        <f t="shared" si="38"/>
        <v>0</v>
      </c>
      <c r="AL167" s="363">
        <f t="shared" si="38"/>
        <v>0</v>
      </c>
      <c r="AM167" s="363">
        <f t="shared" si="38"/>
        <v>0</v>
      </c>
      <c r="AN167" s="363">
        <f t="shared" si="38"/>
        <v>0</v>
      </c>
      <c r="AO167" s="363">
        <f t="shared" si="38"/>
        <v>0</v>
      </c>
      <c r="AP167" s="363">
        <f t="shared" si="38"/>
        <v>0</v>
      </c>
      <c r="AQ167" s="363">
        <f t="shared" si="38"/>
        <v>0</v>
      </c>
      <c r="AR167" s="363">
        <f t="shared" si="38"/>
        <v>0</v>
      </c>
      <c r="AS167" s="363">
        <f t="shared" si="38"/>
        <v>0</v>
      </c>
      <c r="AT167" s="363">
        <f t="shared" si="38"/>
        <v>0</v>
      </c>
      <c r="AU167" s="363">
        <f t="shared" si="38"/>
        <v>0</v>
      </c>
      <c r="AV167" s="363">
        <f t="shared" si="38"/>
        <v>0</v>
      </c>
    </row>
    <row r="168" spans="1:48" x14ac:dyDescent="0.25">
      <c r="A168" s="350" t="s">
        <v>1721</v>
      </c>
      <c r="B168" t="s">
        <v>295</v>
      </c>
      <c r="C168" t="s">
        <v>1533</v>
      </c>
      <c r="D168">
        <f t="shared" si="37"/>
        <v>0</v>
      </c>
      <c r="E168">
        <f t="shared" si="37"/>
        <v>0</v>
      </c>
      <c r="F168">
        <f t="shared" si="37"/>
        <v>0</v>
      </c>
      <c r="G168">
        <f t="shared" si="37"/>
        <v>0</v>
      </c>
      <c r="H168">
        <f t="shared" si="37"/>
        <v>0</v>
      </c>
      <c r="I168">
        <f t="shared" si="37"/>
        <v>0</v>
      </c>
      <c r="J168">
        <f t="shared" si="37"/>
        <v>0</v>
      </c>
      <c r="K168">
        <f t="shared" si="37"/>
        <v>0</v>
      </c>
      <c r="L168">
        <f t="shared" si="37"/>
        <v>0</v>
      </c>
      <c r="M168">
        <f t="shared" si="37"/>
        <v>0</v>
      </c>
      <c r="N168">
        <f t="shared" si="37"/>
        <v>0</v>
      </c>
      <c r="O168" s="363">
        <f t="shared" si="31"/>
        <v>0</v>
      </c>
      <c r="P168" s="363">
        <f t="shared" si="38"/>
        <v>0</v>
      </c>
      <c r="Q168" s="363">
        <f t="shared" si="38"/>
        <v>0</v>
      </c>
      <c r="R168" s="363">
        <f t="shared" si="38"/>
        <v>0</v>
      </c>
      <c r="S168" s="363">
        <f t="shared" si="38"/>
        <v>0</v>
      </c>
      <c r="T168" s="363">
        <f t="shared" si="38"/>
        <v>0</v>
      </c>
      <c r="U168" s="363">
        <f t="shared" si="38"/>
        <v>0</v>
      </c>
      <c r="V168" s="363">
        <f t="shared" si="38"/>
        <v>0</v>
      </c>
      <c r="W168" s="363">
        <f t="shared" si="38"/>
        <v>0</v>
      </c>
      <c r="X168" s="363">
        <f t="shared" si="38"/>
        <v>0</v>
      </c>
      <c r="Y168" s="363">
        <f t="shared" si="38"/>
        <v>0</v>
      </c>
      <c r="Z168" s="363">
        <f t="shared" si="38"/>
        <v>0</v>
      </c>
      <c r="AA168" s="363">
        <f t="shared" si="38"/>
        <v>0</v>
      </c>
      <c r="AB168" s="363">
        <f t="shared" ref="AB168:AV168" si="39">IFERROR(IF($N168-$D168&gt;=0,($N168-$D168)/COUNT($E$1:$N$1)+AA168,$F522*$E522^AB$1),0)</f>
        <v>0</v>
      </c>
      <c r="AC168" s="363">
        <f t="shared" si="39"/>
        <v>0</v>
      </c>
      <c r="AD168" s="363">
        <f t="shared" si="39"/>
        <v>0</v>
      </c>
      <c r="AE168" s="363">
        <f t="shared" si="39"/>
        <v>0</v>
      </c>
      <c r="AF168" s="363">
        <f t="shared" si="39"/>
        <v>0</v>
      </c>
      <c r="AG168" s="363">
        <f t="shared" si="39"/>
        <v>0</v>
      </c>
      <c r="AH168" s="363">
        <f t="shared" si="39"/>
        <v>0</v>
      </c>
      <c r="AI168" s="363">
        <f t="shared" si="39"/>
        <v>0</v>
      </c>
      <c r="AJ168" s="363">
        <f t="shared" si="39"/>
        <v>0</v>
      </c>
      <c r="AK168" s="363">
        <f t="shared" si="39"/>
        <v>0</v>
      </c>
      <c r="AL168" s="363">
        <f t="shared" si="39"/>
        <v>0</v>
      </c>
      <c r="AM168" s="363">
        <f t="shared" si="39"/>
        <v>0</v>
      </c>
      <c r="AN168" s="363">
        <f t="shared" si="39"/>
        <v>0</v>
      </c>
      <c r="AO168" s="363">
        <f t="shared" si="39"/>
        <v>0</v>
      </c>
      <c r="AP168" s="363">
        <f t="shared" si="39"/>
        <v>0</v>
      </c>
      <c r="AQ168" s="363">
        <f t="shared" si="39"/>
        <v>0</v>
      </c>
      <c r="AR168" s="363">
        <f t="shared" si="39"/>
        <v>0</v>
      </c>
      <c r="AS168" s="363">
        <f t="shared" si="39"/>
        <v>0</v>
      </c>
      <c r="AT168" s="363">
        <f t="shared" si="39"/>
        <v>0</v>
      </c>
      <c r="AU168" s="363">
        <f t="shared" si="39"/>
        <v>0</v>
      </c>
      <c r="AV168" s="363">
        <f t="shared" si="39"/>
        <v>0</v>
      </c>
    </row>
    <row r="174" spans="1:48" x14ac:dyDescent="0.25">
      <c r="A174" s="55" t="s">
        <v>1956</v>
      </c>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48" x14ac:dyDescent="0.25">
      <c r="A175" s="28" t="s">
        <v>1534</v>
      </c>
      <c r="B175" s="29"/>
      <c r="C175" s="29"/>
      <c r="D175" s="29"/>
      <c r="E175" s="29"/>
      <c r="F175" s="29"/>
      <c r="G175" s="29"/>
      <c r="H175" s="29"/>
      <c r="I175" s="29"/>
      <c r="J175" s="29"/>
    </row>
    <row r="176" spans="1:48" x14ac:dyDescent="0.25">
      <c r="A176" s="22" t="s">
        <v>1463</v>
      </c>
      <c r="B176">
        <v>1990</v>
      </c>
      <c r="C176">
        <v>1991</v>
      </c>
      <c r="D176">
        <v>1992</v>
      </c>
      <c r="E176">
        <v>1993</v>
      </c>
      <c r="F176">
        <v>1994</v>
      </c>
      <c r="G176">
        <v>1995</v>
      </c>
      <c r="H176">
        <v>1996</v>
      </c>
      <c r="I176">
        <v>1997</v>
      </c>
      <c r="J176">
        <v>1998</v>
      </c>
      <c r="K176">
        <v>1999</v>
      </c>
      <c r="L176">
        <v>2000</v>
      </c>
      <c r="M176">
        <v>2001</v>
      </c>
      <c r="N176">
        <v>2002</v>
      </c>
      <c r="O176">
        <v>2003</v>
      </c>
      <c r="P176">
        <v>2004</v>
      </c>
      <c r="Q176">
        <v>2005</v>
      </c>
      <c r="R176">
        <v>2006</v>
      </c>
      <c r="S176">
        <v>2007</v>
      </c>
      <c r="T176">
        <v>2008</v>
      </c>
      <c r="U176">
        <v>2009</v>
      </c>
      <c r="V176">
        <v>2010</v>
      </c>
      <c r="W176">
        <v>2011</v>
      </c>
      <c r="X176">
        <v>2012</v>
      </c>
      <c r="Y176">
        <v>2013</v>
      </c>
      <c r="Z176">
        <v>2014</v>
      </c>
      <c r="AA176">
        <v>2015</v>
      </c>
      <c r="AB176">
        <v>2016</v>
      </c>
    </row>
    <row r="177" spans="1:28" x14ac:dyDescent="0.25">
      <c r="A177" s="99" t="s">
        <v>1464</v>
      </c>
      <c r="B177" s="62">
        <v>5123043</v>
      </c>
      <c r="C177" s="62">
        <v>5073493</v>
      </c>
      <c r="D177" s="62">
        <v>5178583</v>
      </c>
      <c r="E177" s="62">
        <v>5292610</v>
      </c>
      <c r="F177" s="62">
        <v>5385917</v>
      </c>
      <c r="G177" s="62">
        <v>5450306</v>
      </c>
      <c r="H177" s="62">
        <v>5636297</v>
      </c>
      <c r="I177" s="62">
        <v>5713363</v>
      </c>
      <c r="J177" s="62">
        <v>5753825</v>
      </c>
      <c r="K177" s="62">
        <v>5834225</v>
      </c>
      <c r="L177" s="62">
        <v>6001356</v>
      </c>
      <c r="M177" s="62">
        <v>5902705</v>
      </c>
      <c r="N177" s="62">
        <v>5943946</v>
      </c>
      <c r="O177" s="62">
        <v>5990730</v>
      </c>
      <c r="P177" s="62">
        <v>6105430</v>
      </c>
      <c r="Q177" s="62">
        <v>6131833</v>
      </c>
      <c r="R177" s="62">
        <v>6051496</v>
      </c>
      <c r="S177" s="62">
        <v>6130624</v>
      </c>
      <c r="T177" s="62">
        <v>5932978</v>
      </c>
      <c r="U177" s="62">
        <v>5495688</v>
      </c>
      <c r="V177" s="62">
        <v>5699930</v>
      </c>
      <c r="W177" s="62">
        <v>5569516</v>
      </c>
      <c r="X177" s="62">
        <v>5362095</v>
      </c>
      <c r="Y177" s="62">
        <v>5514018</v>
      </c>
      <c r="Z177" s="62">
        <v>5565495</v>
      </c>
      <c r="AA177" s="62">
        <v>5411409</v>
      </c>
      <c r="AB177" s="62">
        <v>5310861</v>
      </c>
    </row>
    <row r="178" spans="1:28" x14ac:dyDescent="0.25">
      <c r="A178" s="20" t="s">
        <v>1465</v>
      </c>
      <c r="B178" s="62">
        <v>4740343</v>
      </c>
      <c r="C178" s="62">
        <v>4690088</v>
      </c>
      <c r="D178" s="62">
        <v>4793073</v>
      </c>
      <c r="E178" s="62">
        <v>4915094</v>
      </c>
      <c r="F178" s="62">
        <v>4989973</v>
      </c>
      <c r="G178" s="62">
        <v>5040997</v>
      </c>
      <c r="H178" s="62">
        <v>5232351</v>
      </c>
      <c r="I178" s="62">
        <v>5296694</v>
      </c>
      <c r="J178" s="62">
        <v>5333484</v>
      </c>
      <c r="K178" s="62">
        <v>5400842</v>
      </c>
      <c r="L178" s="62">
        <v>5593706</v>
      </c>
      <c r="M178" s="62">
        <v>5524952</v>
      </c>
      <c r="N178" s="62">
        <v>5560586</v>
      </c>
      <c r="O178" s="62">
        <v>5619753</v>
      </c>
      <c r="P178" s="62">
        <v>5709058</v>
      </c>
      <c r="Q178" s="62">
        <v>5746942</v>
      </c>
      <c r="R178" s="62">
        <v>5660261</v>
      </c>
      <c r="S178" s="62">
        <v>5753016</v>
      </c>
      <c r="T178" s="62">
        <v>5566614</v>
      </c>
      <c r="U178" s="62">
        <v>5193156</v>
      </c>
      <c r="V178" s="62">
        <v>5359360</v>
      </c>
      <c r="W178" s="62">
        <v>5227061</v>
      </c>
      <c r="X178" s="62">
        <v>5024643</v>
      </c>
      <c r="Y178" s="62">
        <v>5156523</v>
      </c>
      <c r="Z178" s="62">
        <v>5202300</v>
      </c>
      <c r="AA178" s="62">
        <v>5049763</v>
      </c>
      <c r="AB178" s="62">
        <v>4966049</v>
      </c>
    </row>
    <row r="179" spans="1:28" x14ac:dyDescent="0.25">
      <c r="A179" s="330" t="s">
        <v>1466</v>
      </c>
      <c r="B179" s="62">
        <v>1820818</v>
      </c>
      <c r="C179" s="62">
        <v>1818193</v>
      </c>
      <c r="D179" s="62">
        <v>1831539</v>
      </c>
      <c r="E179" s="62">
        <v>1906905</v>
      </c>
      <c r="F179" s="62">
        <v>1931232</v>
      </c>
      <c r="G179" s="62">
        <v>1947918</v>
      </c>
      <c r="H179" s="62">
        <v>2020987</v>
      </c>
      <c r="I179" s="62">
        <v>2088393</v>
      </c>
      <c r="J179" s="62">
        <v>2177378</v>
      </c>
      <c r="K179" s="62">
        <v>2190513</v>
      </c>
      <c r="L179" s="62">
        <v>2296877</v>
      </c>
      <c r="M179" s="62">
        <v>2257913</v>
      </c>
      <c r="N179" s="62">
        <v>2272671</v>
      </c>
      <c r="O179" s="62">
        <v>2304158</v>
      </c>
      <c r="P179" s="62">
        <v>2335886</v>
      </c>
      <c r="Q179" s="62">
        <v>2400874</v>
      </c>
      <c r="R179" s="62">
        <v>2345281</v>
      </c>
      <c r="S179" s="62">
        <v>2411895</v>
      </c>
      <c r="T179" s="62">
        <v>2360081</v>
      </c>
      <c r="U179" s="62">
        <v>2145658</v>
      </c>
      <c r="V179" s="62">
        <v>2258399</v>
      </c>
      <c r="W179" s="62">
        <v>2157688</v>
      </c>
      <c r="X179" s="62">
        <v>2022181</v>
      </c>
      <c r="Y179" s="62">
        <v>2038122</v>
      </c>
      <c r="Z179" s="62">
        <v>2038018</v>
      </c>
      <c r="AA179" s="62">
        <v>1900673</v>
      </c>
      <c r="AB179" s="62">
        <v>1809252</v>
      </c>
    </row>
    <row r="180" spans="1:28" x14ac:dyDescent="0.25">
      <c r="A180" s="30" t="s">
        <v>1467</v>
      </c>
      <c r="B180" s="62">
        <v>1493758</v>
      </c>
      <c r="C180" s="62">
        <v>1447602</v>
      </c>
      <c r="D180" s="62">
        <v>1496852</v>
      </c>
      <c r="E180" s="62">
        <v>1532412</v>
      </c>
      <c r="F180" s="62">
        <v>1576980</v>
      </c>
      <c r="G180" s="62">
        <v>1609862</v>
      </c>
      <c r="H180" s="62">
        <v>1654302</v>
      </c>
      <c r="I180" s="62">
        <v>1670141</v>
      </c>
      <c r="J180" s="62">
        <v>1706636</v>
      </c>
      <c r="K180" s="62">
        <v>1761057</v>
      </c>
      <c r="L180" s="62">
        <v>1805460</v>
      </c>
      <c r="M180" s="62">
        <v>1789429</v>
      </c>
      <c r="N180" s="62">
        <v>1830641</v>
      </c>
      <c r="O180" s="62">
        <v>1822261</v>
      </c>
      <c r="P180" s="62">
        <v>1867141</v>
      </c>
      <c r="Q180" s="62">
        <v>1887033</v>
      </c>
      <c r="R180" s="62">
        <v>1882633</v>
      </c>
      <c r="S180" s="62">
        <v>1886065</v>
      </c>
      <c r="T180" s="62">
        <v>1791798</v>
      </c>
      <c r="U180" s="62">
        <v>1716966</v>
      </c>
      <c r="V180" s="62">
        <v>1728267</v>
      </c>
      <c r="W180" s="62">
        <v>1707631</v>
      </c>
      <c r="X180" s="62">
        <v>1696752</v>
      </c>
      <c r="Y180" s="62">
        <v>1713002</v>
      </c>
      <c r="Z180" s="62">
        <v>1742814</v>
      </c>
      <c r="AA180" s="62">
        <v>1736383</v>
      </c>
      <c r="AB180" s="62">
        <v>1782585</v>
      </c>
    </row>
    <row r="181" spans="1:28" x14ac:dyDescent="0.25">
      <c r="A181" s="30" t="s">
        <v>1468</v>
      </c>
      <c r="B181" s="62">
        <v>842473</v>
      </c>
      <c r="C181" s="62">
        <v>822469</v>
      </c>
      <c r="D181" s="62">
        <v>857427</v>
      </c>
      <c r="E181" s="62">
        <v>855684</v>
      </c>
      <c r="F181" s="62">
        <v>864810</v>
      </c>
      <c r="G181" s="62">
        <v>870508</v>
      </c>
      <c r="H181" s="62">
        <v>907398</v>
      </c>
      <c r="I181" s="62">
        <v>906829</v>
      </c>
      <c r="J181" s="62">
        <v>869070</v>
      </c>
      <c r="K181" s="62">
        <v>845933</v>
      </c>
      <c r="L181" s="62">
        <v>854092</v>
      </c>
      <c r="M181" s="62">
        <v>842953</v>
      </c>
      <c r="N181" s="62">
        <v>829811</v>
      </c>
      <c r="O181" s="62">
        <v>829611</v>
      </c>
      <c r="P181" s="62">
        <v>852323</v>
      </c>
      <c r="Q181" s="62">
        <v>827999</v>
      </c>
      <c r="R181" s="62">
        <v>852568</v>
      </c>
      <c r="S181" s="62">
        <v>847899</v>
      </c>
      <c r="T181" s="62">
        <v>802829</v>
      </c>
      <c r="U181" s="62">
        <v>727696</v>
      </c>
      <c r="V181" s="62">
        <v>775535</v>
      </c>
      <c r="W181" s="62">
        <v>774951</v>
      </c>
      <c r="X181" s="62">
        <v>782929</v>
      </c>
      <c r="Y181" s="62">
        <v>812228</v>
      </c>
      <c r="Z181" s="62">
        <v>806075</v>
      </c>
      <c r="AA181" s="62">
        <v>805496</v>
      </c>
      <c r="AB181" s="62">
        <v>809062</v>
      </c>
    </row>
    <row r="182" spans="1:28" x14ac:dyDescent="0.25">
      <c r="A182" s="330" t="s">
        <v>1469</v>
      </c>
      <c r="B182" s="62">
        <v>338347</v>
      </c>
      <c r="C182" s="62">
        <v>347182</v>
      </c>
      <c r="D182" s="62">
        <v>353479</v>
      </c>
      <c r="E182" s="62">
        <v>365803</v>
      </c>
      <c r="F182" s="62">
        <v>356791</v>
      </c>
      <c r="G182" s="62">
        <v>352829</v>
      </c>
      <c r="H182" s="62">
        <v>383072</v>
      </c>
      <c r="I182" s="62">
        <v>364686</v>
      </c>
      <c r="J182" s="62">
        <v>331243</v>
      </c>
      <c r="K182" s="62">
        <v>350590</v>
      </c>
      <c r="L182" s="62">
        <v>370810</v>
      </c>
      <c r="M182" s="62">
        <v>362168</v>
      </c>
      <c r="N182" s="62">
        <v>359978</v>
      </c>
      <c r="O182" s="62">
        <v>378944</v>
      </c>
      <c r="P182" s="62">
        <v>367442</v>
      </c>
      <c r="Q182" s="62">
        <v>357834</v>
      </c>
      <c r="R182" s="62">
        <v>321320</v>
      </c>
      <c r="S182" s="62">
        <v>341286</v>
      </c>
      <c r="T182" s="62">
        <v>347621</v>
      </c>
      <c r="U182" s="62">
        <v>336272</v>
      </c>
      <c r="V182" s="62">
        <v>334587</v>
      </c>
      <c r="W182" s="62">
        <v>325537</v>
      </c>
      <c r="X182" s="62">
        <v>282540</v>
      </c>
      <c r="Y182" s="62">
        <v>329674</v>
      </c>
      <c r="Z182" s="62">
        <v>345362</v>
      </c>
      <c r="AA182" s="62">
        <v>319591</v>
      </c>
      <c r="AB182" s="62">
        <v>292501</v>
      </c>
    </row>
    <row r="183" spans="1:28" x14ac:dyDescent="0.25">
      <c r="A183" s="30" t="s">
        <v>1470</v>
      </c>
      <c r="B183" s="62">
        <v>217393</v>
      </c>
      <c r="C183" s="62">
        <v>223255</v>
      </c>
      <c r="D183" s="62">
        <v>220641</v>
      </c>
      <c r="E183" s="62">
        <v>220059</v>
      </c>
      <c r="F183" s="62">
        <v>222393</v>
      </c>
      <c r="G183" s="62">
        <v>225565</v>
      </c>
      <c r="H183" s="62">
        <v>234509</v>
      </c>
      <c r="I183" s="62">
        <v>233646</v>
      </c>
      <c r="J183" s="62">
        <v>215932</v>
      </c>
      <c r="K183" s="62">
        <v>218752</v>
      </c>
      <c r="L183" s="62">
        <v>230906</v>
      </c>
      <c r="M183" s="62">
        <v>224995</v>
      </c>
      <c r="N183" s="62">
        <v>225032</v>
      </c>
      <c r="O183" s="62">
        <v>235196</v>
      </c>
      <c r="P183" s="62">
        <v>234241</v>
      </c>
      <c r="Q183" s="62">
        <v>223480</v>
      </c>
      <c r="R183" s="62">
        <v>208565</v>
      </c>
      <c r="S183" s="62">
        <v>218803</v>
      </c>
      <c r="T183" s="62">
        <v>223633</v>
      </c>
      <c r="U183" s="62">
        <v>223457</v>
      </c>
      <c r="V183" s="62">
        <v>220125</v>
      </c>
      <c r="W183" s="62">
        <v>220381</v>
      </c>
      <c r="X183" s="62">
        <v>196714</v>
      </c>
      <c r="Y183" s="62">
        <v>221030</v>
      </c>
      <c r="Z183" s="62">
        <v>228666</v>
      </c>
      <c r="AA183" s="62">
        <v>246241</v>
      </c>
      <c r="AB183" s="62">
        <v>231269</v>
      </c>
    </row>
    <row r="184" spans="1:28" x14ac:dyDescent="0.25">
      <c r="A184" s="330" t="s">
        <v>1471</v>
      </c>
      <c r="B184" s="62">
        <v>27555</v>
      </c>
      <c r="C184" s="62">
        <v>31388</v>
      </c>
      <c r="D184" s="62">
        <v>33135</v>
      </c>
      <c r="E184" s="62">
        <v>34232</v>
      </c>
      <c r="F184" s="62">
        <v>37766</v>
      </c>
      <c r="G184" s="62">
        <v>34314</v>
      </c>
      <c r="H184" s="62">
        <v>32083</v>
      </c>
      <c r="I184" s="62">
        <v>33000</v>
      </c>
      <c r="J184" s="62">
        <v>33226</v>
      </c>
      <c r="K184" s="62">
        <v>33996</v>
      </c>
      <c r="L184" s="62">
        <v>35560</v>
      </c>
      <c r="M184" s="62">
        <v>47495</v>
      </c>
      <c r="N184" s="62">
        <v>42454</v>
      </c>
      <c r="O184" s="62">
        <v>49584</v>
      </c>
      <c r="P184" s="62">
        <v>52024</v>
      </c>
      <c r="Q184" s="62">
        <v>49723</v>
      </c>
      <c r="R184" s="62">
        <v>49894</v>
      </c>
      <c r="S184" s="62">
        <v>47067</v>
      </c>
      <c r="T184" s="62">
        <v>40652</v>
      </c>
      <c r="U184" s="62">
        <v>43106</v>
      </c>
      <c r="V184" s="62">
        <v>42446</v>
      </c>
      <c r="W184" s="62">
        <v>40874</v>
      </c>
      <c r="X184" s="62">
        <v>43527</v>
      </c>
      <c r="Y184" s="62">
        <v>42467</v>
      </c>
      <c r="Z184" s="62">
        <v>41365</v>
      </c>
      <c r="AA184" s="62">
        <v>41380</v>
      </c>
      <c r="AB184" s="62">
        <v>41380</v>
      </c>
    </row>
    <row r="185" spans="1:28" x14ac:dyDescent="0.25">
      <c r="A185" s="20" t="s">
        <v>1472</v>
      </c>
      <c r="B185" s="62">
        <v>117585</v>
      </c>
      <c r="C185" s="62">
        <v>127690</v>
      </c>
      <c r="D185" s="62">
        <v>125811</v>
      </c>
      <c r="E185" s="62">
        <v>116326</v>
      </c>
      <c r="F185" s="62">
        <v>125472</v>
      </c>
      <c r="G185" s="62">
        <v>128274</v>
      </c>
      <c r="H185" s="62">
        <v>123777</v>
      </c>
      <c r="I185" s="62">
        <v>132362</v>
      </c>
      <c r="J185" s="62">
        <v>149699</v>
      </c>
      <c r="K185" s="62">
        <v>163012</v>
      </c>
      <c r="L185" s="62">
        <v>140272</v>
      </c>
      <c r="M185" s="62">
        <v>131703</v>
      </c>
      <c r="N185" s="62">
        <v>135216</v>
      </c>
      <c r="O185" s="62">
        <v>128989</v>
      </c>
      <c r="P185" s="62">
        <v>147297</v>
      </c>
      <c r="Q185" s="62">
        <v>138913</v>
      </c>
      <c r="R185" s="62">
        <v>140274</v>
      </c>
      <c r="S185" s="62">
        <v>122852</v>
      </c>
      <c r="T185" s="62">
        <v>125362</v>
      </c>
      <c r="U185" s="62">
        <v>106169</v>
      </c>
      <c r="V185" s="62">
        <v>114294</v>
      </c>
      <c r="W185" s="62">
        <v>109756</v>
      </c>
      <c r="X185" s="62">
        <v>106750</v>
      </c>
      <c r="Y185" s="62">
        <v>123645</v>
      </c>
      <c r="Z185" s="62">
        <v>118995</v>
      </c>
      <c r="AA185" s="62">
        <v>125526</v>
      </c>
      <c r="AB185" s="62">
        <v>112199</v>
      </c>
    </row>
    <row r="186" spans="1:28" ht="24" x14ac:dyDescent="0.25">
      <c r="A186" s="20" t="s">
        <v>1473</v>
      </c>
      <c r="B186" s="62">
        <v>101487</v>
      </c>
      <c r="C186" s="62">
        <v>92075</v>
      </c>
      <c r="D186" s="62">
        <v>92938</v>
      </c>
      <c r="E186" s="62">
        <v>88944</v>
      </c>
      <c r="F186" s="62">
        <v>91781</v>
      </c>
      <c r="G186" s="62">
        <v>95502</v>
      </c>
      <c r="H186" s="62">
        <v>93599</v>
      </c>
      <c r="I186" s="62">
        <v>94950</v>
      </c>
      <c r="J186" s="62">
        <v>88643</v>
      </c>
      <c r="K186" s="62">
        <v>86440</v>
      </c>
      <c r="L186" s="62">
        <v>88080</v>
      </c>
      <c r="M186" s="62">
        <v>77593</v>
      </c>
      <c r="N186" s="62">
        <v>73726</v>
      </c>
      <c r="O186" s="62">
        <v>70587</v>
      </c>
      <c r="P186" s="62">
        <v>70186</v>
      </c>
      <c r="Q186" s="62">
        <v>68047</v>
      </c>
      <c r="R186" s="62">
        <v>70774</v>
      </c>
      <c r="S186" s="62">
        <v>72541</v>
      </c>
      <c r="T186" s="62">
        <v>68040</v>
      </c>
      <c r="U186" s="62">
        <v>43755</v>
      </c>
      <c r="V186" s="62">
        <v>56753</v>
      </c>
      <c r="W186" s="62">
        <v>61108</v>
      </c>
      <c r="X186" s="62">
        <v>55449</v>
      </c>
      <c r="Y186" s="62">
        <v>53348</v>
      </c>
      <c r="Z186" s="62">
        <v>58629</v>
      </c>
      <c r="AA186" s="62">
        <v>48876</v>
      </c>
      <c r="AB186" s="62">
        <v>42306</v>
      </c>
    </row>
    <row r="187" spans="1:28" x14ac:dyDescent="0.25">
      <c r="A187" s="20" t="s">
        <v>1474</v>
      </c>
      <c r="B187" s="62">
        <v>37732</v>
      </c>
      <c r="C187" s="62">
        <v>37951</v>
      </c>
      <c r="D187" s="62">
        <v>37677</v>
      </c>
      <c r="E187" s="62">
        <v>41027</v>
      </c>
      <c r="F187" s="62">
        <v>41089</v>
      </c>
      <c r="G187" s="62">
        <v>42643</v>
      </c>
      <c r="H187" s="62">
        <v>40148</v>
      </c>
      <c r="I187" s="62">
        <v>39700</v>
      </c>
      <c r="J187" s="62">
        <v>29719</v>
      </c>
      <c r="K187" s="62">
        <v>30763</v>
      </c>
      <c r="L187" s="62">
        <v>29870</v>
      </c>
      <c r="M187" s="62">
        <v>29339</v>
      </c>
      <c r="N187" s="62">
        <v>30115</v>
      </c>
      <c r="O187" s="62">
        <v>28950</v>
      </c>
      <c r="P187" s="62">
        <v>28676</v>
      </c>
      <c r="Q187" s="62">
        <v>30076</v>
      </c>
      <c r="R187" s="62">
        <v>30174</v>
      </c>
      <c r="S187" s="62">
        <v>30983</v>
      </c>
      <c r="T187" s="62">
        <v>32774</v>
      </c>
      <c r="U187" s="62">
        <v>32302</v>
      </c>
      <c r="V187" s="62">
        <v>32439</v>
      </c>
      <c r="W187" s="62">
        <v>35662</v>
      </c>
      <c r="X187" s="62">
        <v>35203</v>
      </c>
      <c r="Y187" s="62">
        <v>38457</v>
      </c>
      <c r="Z187" s="62">
        <v>42351</v>
      </c>
      <c r="AA187" s="62">
        <v>42351</v>
      </c>
      <c r="AB187" s="62">
        <v>25516</v>
      </c>
    </row>
    <row r="188" spans="1:28" x14ac:dyDescent="0.25">
      <c r="A188" s="20" t="s">
        <v>1475</v>
      </c>
      <c r="B188" s="62">
        <v>33484</v>
      </c>
      <c r="C188" s="62">
        <v>32736</v>
      </c>
      <c r="D188" s="62">
        <v>32993</v>
      </c>
      <c r="E188" s="62">
        <v>34838</v>
      </c>
      <c r="F188" s="62">
        <v>36310</v>
      </c>
      <c r="G188" s="62">
        <v>37075</v>
      </c>
      <c r="H188" s="62">
        <v>37309</v>
      </c>
      <c r="I188" s="62">
        <v>38561</v>
      </c>
      <c r="J188" s="62">
        <v>39461</v>
      </c>
      <c r="K188" s="62">
        <v>40239</v>
      </c>
      <c r="L188" s="62">
        <v>41445</v>
      </c>
      <c r="M188" s="62">
        <v>41613</v>
      </c>
      <c r="N188" s="62">
        <v>43164</v>
      </c>
      <c r="O188" s="62">
        <v>43349</v>
      </c>
      <c r="P188" s="62">
        <v>45886</v>
      </c>
      <c r="Q188" s="62">
        <v>46194</v>
      </c>
      <c r="R188" s="62">
        <v>46851</v>
      </c>
      <c r="S188" s="62">
        <v>45509</v>
      </c>
      <c r="T188" s="62">
        <v>41416</v>
      </c>
      <c r="U188" s="62">
        <v>29615</v>
      </c>
      <c r="V188" s="62">
        <v>31449</v>
      </c>
      <c r="W188" s="62">
        <v>32208</v>
      </c>
      <c r="X188" s="62">
        <v>35270</v>
      </c>
      <c r="Y188" s="62">
        <v>36369</v>
      </c>
      <c r="Z188" s="62">
        <v>39439</v>
      </c>
      <c r="AA188" s="62">
        <v>39907</v>
      </c>
      <c r="AB188" s="62">
        <v>39439</v>
      </c>
    </row>
    <row r="189" spans="1:28" x14ac:dyDescent="0.25">
      <c r="A189" s="20" t="s">
        <v>1476</v>
      </c>
      <c r="B189" s="62">
        <v>21326</v>
      </c>
      <c r="C189" s="62">
        <v>22744</v>
      </c>
      <c r="D189" s="62">
        <v>23341</v>
      </c>
      <c r="E189" s="62">
        <v>24290</v>
      </c>
      <c r="F189" s="62">
        <v>26224</v>
      </c>
      <c r="G189" s="62">
        <v>27573</v>
      </c>
      <c r="H189" s="62">
        <v>28710</v>
      </c>
      <c r="I189" s="62">
        <v>30084</v>
      </c>
      <c r="J189" s="62">
        <v>30439</v>
      </c>
      <c r="K189" s="62">
        <v>31851</v>
      </c>
      <c r="L189" s="62">
        <v>31128</v>
      </c>
      <c r="M189" s="62">
        <v>27239</v>
      </c>
      <c r="N189" s="62">
        <v>28264</v>
      </c>
      <c r="O189" s="62">
        <v>28040</v>
      </c>
      <c r="P189" s="62">
        <v>30214</v>
      </c>
      <c r="Q189" s="62">
        <v>26972</v>
      </c>
      <c r="R189" s="62">
        <v>27187</v>
      </c>
      <c r="S189" s="62">
        <v>27627</v>
      </c>
      <c r="T189" s="62">
        <v>24352</v>
      </c>
      <c r="U189" s="62">
        <v>23403</v>
      </c>
      <c r="V189" s="62">
        <v>27262</v>
      </c>
      <c r="W189" s="62">
        <v>26338</v>
      </c>
      <c r="X189" s="62">
        <v>26501</v>
      </c>
      <c r="Y189" s="62">
        <v>26395</v>
      </c>
      <c r="Z189" s="62">
        <v>26496</v>
      </c>
      <c r="AA189" s="62">
        <v>28062</v>
      </c>
      <c r="AB189" s="62">
        <v>28110</v>
      </c>
    </row>
    <row r="190" spans="1:28" x14ac:dyDescent="0.25">
      <c r="A190" s="20" t="s">
        <v>1477</v>
      </c>
      <c r="B190" s="62">
        <v>11700</v>
      </c>
      <c r="C190" s="62">
        <v>11539</v>
      </c>
      <c r="D190" s="62">
        <v>11927</v>
      </c>
      <c r="E190" s="62">
        <v>12279</v>
      </c>
      <c r="F190" s="62">
        <v>12736</v>
      </c>
      <c r="G190" s="62">
        <v>13538</v>
      </c>
      <c r="H190" s="62">
        <v>14242</v>
      </c>
      <c r="I190" s="62">
        <v>14498</v>
      </c>
      <c r="J190" s="62">
        <v>14792</v>
      </c>
      <c r="K190" s="62">
        <v>14425</v>
      </c>
      <c r="L190" s="62">
        <v>14282</v>
      </c>
      <c r="M190" s="62">
        <v>13722</v>
      </c>
      <c r="N190" s="62">
        <v>13169</v>
      </c>
      <c r="O190" s="62">
        <v>13907</v>
      </c>
      <c r="P190" s="62">
        <v>14613</v>
      </c>
      <c r="Q190" s="62">
        <v>14552</v>
      </c>
      <c r="R190" s="62">
        <v>15243</v>
      </c>
      <c r="S190" s="62">
        <v>14721</v>
      </c>
      <c r="T190" s="62">
        <v>14505</v>
      </c>
      <c r="U190" s="62">
        <v>11411</v>
      </c>
      <c r="V190" s="62">
        <v>13381</v>
      </c>
      <c r="W190" s="62">
        <v>13982</v>
      </c>
      <c r="X190" s="62">
        <v>13785</v>
      </c>
      <c r="Y190" s="62">
        <v>14028</v>
      </c>
      <c r="Z190" s="62">
        <v>14210</v>
      </c>
      <c r="AA190" s="62">
        <v>13342</v>
      </c>
      <c r="AB190" s="62">
        <v>12942</v>
      </c>
    </row>
    <row r="191" spans="1:28" x14ac:dyDescent="0.25">
      <c r="A191" s="20" t="s">
        <v>1478</v>
      </c>
      <c r="B191" s="62">
        <v>4907</v>
      </c>
      <c r="C191" s="62">
        <v>4313</v>
      </c>
      <c r="D191" s="62">
        <v>4301</v>
      </c>
      <c r="E191" s="62">
        <v>3909</v>
      </c>
      <c r="F191" s="62">
        <v>4346</v>
      </c>
      <c r="G191" s="62">
        <v>6155</v>
      </c>
      <c r="H191" s="62">
        <v>6781</v>
      </c>
      <c r="I191" s="62">
        <v>6373</v>
      </c>
      <c r="J191" s="62">
        <v>6701</v>
      </c>
      <c r="K191" s="62">
        <v>7576</v>
      </c>
      <c r="L191" s="62">
        <v>4670</v>
      </c>
      <c r="M191" s="62">
        <v>4660</v>
      </c>
      <c r="N191" s="62">
        <v>5137</v>
      </c>
      <c r="O191" s="62">
        <v>3739</v>
      </c>
      <c r="P191" s="62">
        <v>5598</v>
      </c>
      <c r="Q191" s="62">
        <v>6339</v>
      </c>
      <c r="R191" s="62">
        <v>7284</v>
      </c>
      <c r="S191" s="62">
        <v>7365</v>
      </c>
      <c r="T191" s="62">
        <v>5885</v>
      </c>
      <c r="U191" s="62">
        <v>7583</v>
      </c>
      <c r="V191" s="62">
        <v>9560</v>
      </c>
      <c r="W191" s="62">
        <v>9335</v>
      </c>
      <c r="X191" s="62">
        <v>8022</v>
      </c>
      <c r="Y191" s="62">
        <v>10414</v>
      </c>
      <c r="Z191" s="62">
        <v>11811</v>
      </c>
      <c r="AA191" s="62">
        <v>11236</v>
      </c>
      <c r="AB191" s="62">
        <v>10986</v>
      </c>
    </row>
    <row r="192" spans="1:28" x14ac:dyDescent="0.25">
      <c r="A192" s="20" t="s">
        <v>1479</v>
      </c>
      <c r="B192" s="62">
        <v>13047</v>
      </c>
      <c r="C192" s="62">
        <v>13279</v>
      </c>
      <c r="D192" s="62">
        <v>13683</v>
      </c>
      <c r="E192" s="62">
        <v>13205</v>
      </c>
      <c r="F192" s="62">
        <v>14151</v>
      </c>
      <c r="G192" s="62">
        <v>13541</v>
      </c>
      <c r="H192" s="62">
        <v>13836</v>
      </c>
      <c r="I192" s="62">
        <v>14028</v>
      </c>
      <c r="J192" s="62">
        <v>14143</v>
      </c>
      <c r="K192" s="62">
        <v>12948</v>
      </c>
      <c r="L192" s="62">
        <v>12172</v>
      </c>
      <c r="M192" s="62">
        <v>9233</v>
      </c>
      <c r="N192" s="62">
        <v>10499</v>
      </c>
      <c r="O192" s="62">
        <v>8817</v>
      </c>
      <c r="P192" s="62">
        <v>9568</v>
      </c>
      <c r="Q192" s="62">
        <v>9196</v>
      </c>
      <c r="R192" s="62">
        <v>8781</v>
      </c>
      <c r="S192" s="62">
        <v>9074</v>
      </c>
      <c r="T192" s="62">
        <v>8414</v>
      </c>
      <c r="U192" s="62">
        <v>8454</v>
      </c>
      <c r="V192" s="62">
        <v>9188</v>
      </c>
      <c r="W192" s="62">
        <v>9292</v>
      </c>
      <c r="X192" s="62">
        <v>9377</v>
      </c>
      <c r="Y192" s="62">
        <v>9962</v>
      </c>
      <c r="Z192" s="62">
        <v>9619</v>
      </c>
      <c r="AA192" s="62">
        <v>10799</v>
      </c>
      <c r="AB192" s="62">
        <v>12194</v>
      </c>
    </row>
    <row r="193" spans="1:28" x14ac:dyDescent="0.25">
      <c r="A193" s="20" t="s">
        <v>1480</v>
      </c>
      <c r="B193" s="62">
        <v>7950</v>
      </c>
      <c r="C193" s="62">
        <v>7959</v>
      </c>
      <c r="D193" s="62">
        <v>9483</v>
      </c>
      <c r="E193" s="62">
        <v>9751</v>
      </c>
      <c r="F193" s="62">
        <v>10833</v>
      </c>
      <c r="G193" s="62">
        <v>11261</v>
      </c>
      <c r="H193" s="62">
        <v>11861</v>
      </c>
      <c r="I193" s="62">
        <v>11848</v>
      </c>
      <c r="J193" s="62">
        <v>10822</v>
      </c>
      <c r="K193" s="62">
        <v>11001</v>
      </c>
      <c r="L193" s="62">
        <v>11106</v>
      </c>
      <c r="M193" s="62">
        <v>11391</v>
      </c>
      <c r="N193" s="62">
        <v>11828</v>
      </c>
      <c r="O193" s="62">
        <v>12099</v>
      </c>
      <c r="P193" s="62">
        <v>12375</v>
      </c>
      <c r="Q193" s="62">
        <v>12469</v>
      </c>
      <c r="R193" s="62">
        <v>12528</v>
      </c>
      <c r="S193" s="62">
        <v>12733</v>
      </c>
      <c r="T193" s="62">
        <v>11892</v>
      </c>
      <c r="U193" s="62">
        <v>11318</v>
      </c>
      <c r="V193" s="62">
        <v>11047</v>
      </c>
      <c r="W193" s="62">
        <v>10564</v>
      </c>
      <c r="X193" s="62">
        <v>10379</v>
      </c>
      <c r="Y193" s="62">
        <v>10398</v>
      </c>
      <c r="Z193" s="62">
        <v>10608</v>
      </c>
      <c r="AA193" s="62">
        <v>10676</v>
      </c>
      <c r="AB193" s="62">
        <v>10676</v>
      </c>
    </row>
    <row r="194" spans="1:28" x14ac:dyDescent="0.25">
      <c r="A194" s="20" t="s">
        <v>1481</v>
      </c>
      <c r="B194" s="62">
        <v>2417</v>
      </c>
      <c r="C194" s="62">
        <v>2313</v>
      </c>
      <c r="D194" s="62">
        <v>2448</v>
      </c>
      <c r="E194" s="62">
        <v>2637</v>
      </c>
      <c r="F194" s="62">
        <v>2683</v>
      </c>
      <c r="G194" s="62">
        <v>2657</v>
      </c>
      <c r="H194" s="62">
        <v>2587</v>
      </c>
      <c r="I194" s="62">
        <v>2691</v>
      </c>
      <c r="J194" s="62">
        <v>2947</v>
      </c>
      <c r="K194" s="62">
        <v>3016</v>
      </c>
      <c r="L194" s="62">
        <v>3214</v>
      </c>
      <c r="M194" s="62">
        <v>3414</v>
      </c>
      <c r="N194" s="62">
        <v>3572</v>
      </c>
      <c r="O194" s="62">
        <v>3685</v>
      </c>
      <c r="P194" s="62">
        <v>3653</v>
      </c>
      <c r="Q194" s="62">
        <v>3504</v>
      </c>
      <c r="R194" s="62">
        <v>3656</v>
      </c>
      <c r="S194" s="62">
        <v>3757</v>
      </c>
      <c r="T194" s="62">
        <v>3613</v>
      </c>
      <c r="U194" s="62">
        <v>3555</v>
      </c>
      <c r="V194" s="62">
        <v>3778</v>
      </c>
      <c r="W194" s="62">
        <v>4097</v>
      </c>
      <c r="X194" s="62">
        <v>4267</v>
      </c>
      <c r="Y194" s="62">
        <v>4504</v>
      </c>
      <c r="Z194" s="62">
        <v>4781</v>
      </c>
      <c r="AA194" s="62">
        <v>5032</v>
      </c>
      <c r="AB194" s="62">
        <v>5098</v>
      </c>
    </row>
    <row r="195" spans="1:28" x14ac:dyDescent="0.25">
      <c r="A195" s="20" t="s">
        <v>1482</v>
      </c>
      <c r="B195" s="62">
        <v>1472</v>
      </c>
      <c r="C195" s="62">
        <v>1469</v>
      </c>
      <c r="D195" s="62">
        <v>1463</v>
      </c>
      <c r="E195" s="62">
        <v>1470</v>
      </c>
      <c r="F195" s="62">
        <v>1476</v>
      </c>
      <c r="G195" s="62">
        <v>1477</v>
      </c>
      <c r="H195" s="62">
        <v>1486</v>
      </c>
      <c r="I195" s="62">
        <v>1484</v>
      </c>
      <c r="J195" s="62">
        <v>1481</v>
      </c>
      <c r="K195" s="62">
        <v>1479</v>
      </c>
      <c r="L195" s="62">
        <v>1478</v>
      </c>
      <c r="M195">
        <v>894</v>
      </c>
      <c r="N195" s="62">
        <v>1047</v>
      </c>
      <c r="O195" s="62">
        <v>1365</v>
      </c>
      <c r="P195" s="62">
        <v>1259</v>
      </c>
      <c r="Q195" s="62">
        <v>1375</v>
      </c>
      <c r="R195" s="62">
        <v>1758</v>
      </c>
      <c r="S195" s="62">
        <v>1922</v>
      </c>
      <c r="T195" s="62">
        <v>1834</v>
      </c>
      <c r="U195" s="62">
        <v>1795</v>
      </c>
      <c r="V195" s="62">
        <v>4425</v>
      </c>
      <c r="W195" s="62">
        <v>4083</v>
      </c>
      <c r="X195" s="62">
        <v>4019</v>
      </c>
      <c r="Y195" s="62">
        <v>4188</v>
      </c>
      <c r="Z195" s="62">
        <v>4471</v>
      </c>
      <c r="AA195" s="62">
        <v>4296</v>
      </c>
      <c r="AB195" s="62">
        <v>4471</v>
      </c>
    </row>
    <row r="196" spans="1:28" x14ac:dyDescent="0.25">
      <c r="A196" s="20" t="s">
        <v>1483</v>
      </c>
      <c r="B196" s="62">
        <v>4667</v>
      </c>
      <c r="C196" s="62">
        <v>5009</v>
      </c>
      <c r="D196" s="62">
        <v>4415</v>
      </c>
      <c r="E196" s="62">
        <v>3785</v>
      </c>
      <c r="F196" s="62">
        <v>4141</v>
      </c>
      <c r="G196" s="62">
        <v>4392</v>
      </c>
      <c r="H196" s="62">
        <v>4368</v>
      </c>
      <c r="I196" s="62">
        <v>4280</v>
      </c>
      <c r="J196" s="62">
        <v>4721</v>
      </c>
      <c r="K196" s="62">
        <v>4458</v>
      </c>
      <c r="L196" s="62">
        <v>4328</v>
      </c>
      <c r="M196" s="62">
        <v>4411</v>
      </c>
      <c r="N196" s="62">
        <v>4976</v>
      </c>
      <c r="O196" s="62">
        <v>4575</v>
      </c>
      <c r="P196" s="62">
        <v>3902</v>
      </c>
      <c r="Q196" s="62">
        <v>4349</v>
      </c>
      <c r="R196" s="62">
        <v>4220</v>
      </c>
      <c r="S196" s="62">
        <v>4464</v>
      </c>
      <c r="T196" s="62">
        <v>5025</v>
      </c>
      <c r="U196" s="62">
        <v>3669</v>
      </c>
      <c r="V196" s="62">
        <v>4784</v>
      </c>
      <c r="W196" s="62">
        <v>3873</v>
      </c>
      <c r="X196" s="62">
        <v>5978</v>
      </c>
      <c r="Y196" s="62">
        <v>3907</v>
      </c>
      <c r="Z196" s="62">
        <v>3609</v>
      </c>
      <c r="AA196" s="62">
        <v>3810</v>
      </c>
      <c r="AB196" s="62">
        <v>3863</v>
      </c>
    </row>
    <row r="197" spans="1:28" x14ac:dyDescent="0.25">
      <c r="A197" s="20" t="s">
        <v>1484</v>
      </c>
      <c r="B197" s="62">
        <v>3553</v>
      </c>
      <c r="C197" s="62">
        <v>3528</v>
      </c>
      <c r="D197" s="62">
        <v>3551</v>
      </c>
      <c r="E197" s="62">
        <v>3574</v>
      </c>
      <c r="F197" s="62">
        <v>3629</v>
      </c>
      <c r="G197" s="62">
        <v>3657</v>
      </c>
      <c r="H197" s="62">
        <v>3722</v>
      </c>
      <c r="I197" s="62">
        <v>3832</v>
      </c>
      <c r="J197" s="62">
        <v>3884</v>
      </c>
      <c r="K197" s="62">
        <v>3849</v>
      </c>
      <c r="L197" s="62">
        <v>3923</v>
      </c>
      <c r="M197" s="62">
        <v>3933</v>
      </c>
      <c r="N197" s="62">
        <v>3884</v>
      </c>
      <c r="O197" s="62">
        <v>3967</v>
      </c>
      <c r="P197" s="62">
        <v>4011</v>
      </c>
      <c r="Q197" s="62">
        <v>3927</v>
      </c>
      <c r="R197" s="62">
        <v>3934</v>
      </c>
      <c r="S197" s="62">
        <v>3924</v>
      </c>
      <c r="T197" s="62">
        <v>3806</v>
      </c>
      <c r="U197" s="62">
        <v>3745</v>
      </c>
      <c r="V197" s="62">
        <v>4154</v>
      </c>
      <c r="W197" s="62">
        <v>4192</v>
      </c>
      <c r="X197" s="62">
        <v>3876</v>
      </c>
      <c r="Y197" s="62">
        <v>3693</v>
      </c>
      <c r="Z197" s="62">
        <v>3567</v>
      </c>
      <c r="AA197" s="62">
        <v>3567</v>
      </c>
      <c r="AB197" s="62">
        <v>22767</v>
      </c>
    </row>
    <row r="198" spans="1:28" x14ac:dyDescent="0.25">
      <c r="A198" s="20" t="s">
        <v>1485</v>
      </c>
      <c r="B198" s="62">
        <v>2822</v>
      </c>
      <c r="C198" s="62">
        <v>2793</v>
      </c>
      <c r="D198" s="62">
        <v>2769</v>
      </c>
      <c r="E198" s="62">
        <v>2736</v>
      </c>
      <c r="F198" s="62">
        <v>2712</v>
      </c>
      <c r="G198" s="62">
        <v>3003</v>
      </c>
      <c r="H198" s="62">
        <v>2979</v>
      </c>
      <c r="I198" s="62">
        <v>3057</v>
      </c>
      <c r="J198" s="62">
        <v>2990</v>
      </c>
      <c r="K198" s="62">
        <v>2859</v>
      </c>
      <c r="L198" s="62">
        <v>2866</v>
      </c>
      <c r="M198" s="62">
        <v>2872</v>
      </c>
      <c r="N198" s="62">
        <v>2822</v>
      </c>
      <c r="O198" s="62">
        <v>2824</v>
      </c>
      <c r="P198" s="62">
        <v>2908</v>
      </c>
      <c r="Q198" s="62">
        <v>2960</v>
      </c>
      <c r="R198" s="62">
        <v>2902</v>
      </c>
      <c r="S198" s="62">
        <v>2937</v>
      </c>
      <c r="T198" s="62">
        <v>2960</v>
      </c>
      <c r="U198" s="62">
        <v>2569</v>
      </c>
      <c r="V198" s="62">
        <v>2697</v>
      </c>
      <c r="W198" s="62">
        <v>2712</v>
      </c>
      <c r="X198" s="62">
        <v>2763</v>
      </c>
      <c r="Y198" s="62">
        <v>2804</v>
      </c>
      <c r="Z198" s="62">
        <v>2827</v>
      </c>
      <c r="AA198" s="62">
        <v>2789</v>
      </c>
      <c r="AB198" s="62">
        <v>1723</v>
      </c>
    </row>
    <row r="199" spans="1:28" x14ac:dyDescent="0.25">
      <c r="A199" s="20" t="s">
        <v>1486</v>
      </c>
      <c r="B199" s="62">
        <v>6831</v>
      </c>
      <c r="C199" s="62">
        <v>6945</v>
      </c>
      <c r="D199" s="62">
        <v>6804</v>
      </c>
      <c r="E199" s="62">
        <v>6211</v>
      </c>
      <c r="F199" s="62">
        <v>5539</v>
      </c>
      <c r="G199" s="62">
        <v>5659</v>
      </c>
      <c r="H199" s="62">
        <v>5987</v>
      </c>
      <c r="I199" s="62">
        <v>6019</v>
      </c>
      <c r="J199" s="62">
        <v>6191</v>
      </c>
      <c r="K199" s="62">
        <v>6286</v>
      </c>
      <c r="L199" s="62">
        <v>6086</v>
      </c>
      <c r="M199" s="62">
        <v>4382</v>
      </c>
      <c r="N199" s="62">
        <v>4491</v>
      </c>
      <c r="O199" s="62">
        <v>4502</v>
      </c>
      <c r="P199" s="62">
        <v>4231</v>
      </c>
      <c r="Q199" s="62">
        <v>4142</v>
      </c>
      <c r="R199" s="62">
        <v>3801</v>
      </c>
      <c r="S199" s="62">
        <v>4251</v>
      </c>
      <c r="T199" s="62">
        <v>4477</v>
      </c>
      <c r="U199" s="62">
        <v>3009</v>
      </c>
      <c r="V199" s="62">
        <v>2722</v>
      </c>
      <c r="W199" s="62">
        <v>3292</v>
      </c>
      <c r="X199" s="62">
        <v>3439</v>
      </c>
      <c r="Y199" s="62">
        <v>3255</v>
      </c>
      <c r="Z199" s="62">
        <v>2833</v>
      </c>
      <c r="AA199" s="62">
        <v>2767</v>
      </c>
      <c r="AB199" s="62">
        <v>1334</v>
      </c>
    </row>
    <row r="200" spans="1:28" x14ac:dyDescent="0.25">
      <c r="A200" s="20" t="s">
        <v>1487</v>
      </c>
      <c r="B200" s="62">
        <v>2152</v>
      </c>
      <c r="C200" s="62">
        <v>1929</v>
      </c>
      <c r="D200" s="62">
        <v>1957</v>
      </c>
      <c r="E200" s="62">
        <v>1904</v>
      </c>
      <c r="F200" s="62">
        <v>2021</v>
      </c>
      <c r="G200" s="62">
        <v>2036</v>
      </c>
      <c r="H200" s="62">
        <v>2133</v>
      </c>
      <c r="I200" s="62">
        <v>2226</v>
      </c>
      <c r="J200" s="62">
        <v>2218</v>
      </c>
      <c r="K200" s="62">
        <v>2185</v>
      </c>
      <c r="L200" s="62">
        <v>1893</v>
      </c>
      <c r="M200" s="62">
        <v>1459</v>
      </c>
      <c r="N200" s="62">
        <v>1349</v>
      </c>
      <c r="O200" s="62">
        <v>1305</v>
      </c>
      <c r="P200" s="62">
        <v>1419</v>
      </c>
      <c r="Q200" s="62">
        <v>1392</v>
      </c>
      <c r="R200" s="62">
        <v>1505</v>
      </c>
      <c r="S200" s="62">
        <v>1552</v>
      </c>
      <c r="T200" s="62">
        <v>1599</v>
      </c>
      <c r="U200" s="62">
        <v>1469</v>
      </c>
      <c r="V200" s="62">
        <v>1663</v>
      </c>
      <c r="W200" s="62">
        <v>1735</v>
      </c>
      <c r="X200" s="62">
        <v>1903</v>
      </c>
      <c r="Y200" s="62">
        <v>1785</v>
      </c>
      <c r="Z200" s="62">
        <v>1914</v>
      </c>
      <c r="AA200" s="62">
        <v>1960</v>
      </c>
      <c r="AB200" s="62">
        <v>1796</v>
      </c>
    </row>
    <row r="201" spans="1:28" x14ac:dyDescent="0.25">
      <c r="A201" s="20" t="s">
        <v>1488</v>
      </c>
      <c r="B201" s="62">
        <v>1195</v>
      </c>
      <c r="C201" s="62">
        <v>1211</v>
      </c>
      <c r="D201" s="62">
        <v>1392</v>
      </c>
      <c r="E201" s="62">
        <v>1416</v>
      </c>
      <c r="F201" s="62">
        <v>1526</v>
      </c>
      <c r="G201" s="62">
        <v>1526</v>
      </c>
      <c r="H201" s="62">
        <v>1514</v>
      </c>
      <c r="I201" s="62">
        <v>1677</v>
      </c>
      <c r="J201" s="62">
        <v>1662</v>
      </c>
      <c r="K201" s="62">
        <v>1693</v>
      </c>
      <c r="L201" s="62">
        <v>1752</v>
      </c>
      <c r="M201" s="62">
        <v>1697</v>
      </c>
      <c r="N201" s="62">
        <v>1824</v>
      </c>
      <c r="O201" s="62">
        <v>1839</v>
      </c>
      <c r="P201" s="62">
        <v>2064</v>
      </c>
      <c r="Q201" s="62">
        <v>1755</v>
      </c>
      <c r="R201" s="62">
        <v>1836</v>
      </c>
      <c r="S201" s="62">
        <v>1930</v>
      </c>
      <c r="T201" s="62">
        <v>1809</v>
      </c>
      <c r="U201" s="62">
        <v>1648</v>
      </c>
      <c r="V201" s="62">
        <v>1769</v>
      </c>
      <c r="W201" s="62">
        <v>1729</v>
      </c>
      <c r="X201" s="62">
        <v>1528</v>
      </c>
      <c r="Y201" s="62">
        <v>1715</v>
      </c>
      <c r="Z201" s="62">
        <v>1688</v>
      </c>
      <c r="AA201" s="62">
        <v>1635</v>
      </c>
      <c r="AB201" s="62">
        <v>1608</v>
      </c>
    </row>
    <row r="202" spans="1:28" x14ac:dyDescent="0.25">
      <c r="A202" s="20" t="s">
        <v>1489</v>
      </c>
      <c r="B202" s="62">
        <v>1535</v>
      </c>
      <c r="C202" s="62">
        <v>1439</v>
      </c>
      <c r="D202" s="62">
        <v>1540</v>
      </c>
      <c r="E202" s="62">
        <v>1626</v>
      </c>
      <c r="F202" s="62">
        <v>1735</v>
      </c>
      <c r="G202" s="62">
        <v>1823</v>
      </c>
      <c r="H202" s="62">
        <v>1677</v>
      </c>
      <c r="I202" s="62">
        <v>1618</v>
      </c>
      <c r="J202" s="62">
        <v>1543</v>
      </c>
      <c r="K202" s="62">
        <v>1357</v>
      </c>
      <c r="L202" s="62">
        <v>1686</v>
      </c>
      <c r="M202" s="62">
        <v>1386</v>
      </c>
      <c r="N202" s="62">
        <v>1741</v>
      </c>
      <c r="O202" s="62">
        <v>1623</v>
      </c>
      <c r="P202" s="62">
        <v>1642</v>
      </c>
      <c r="Q202" s="62">
        <v>1928</v>
      </c>
      <c r="R202" s="62">
        <v>2050</v>
      </c>
      <c r="S202" s="62">
        <v>1536</v>
      </c>
      <c r="T202" s="62">
        <v>1523</v>
      </c>
      <c r="U202" s="62">
        <v>1045</v>
      </c>
      <c r="V202" s="62">
        <v>1481</v>
      </c>
      <c r="W202" s="62">
        <v>1299</v>
      </c>
      <c r="X202" s="62">
        <v>1248</v>
      </c>
      <c r="Y202" s="62">
        <v>1317</v>
      </c>
      <c r="Z202" s="62">
        <v>1336</v>
      </c>
      <c r="AA202" s="62">
        <v>1299</v>
      </c>
      <c r="AB202" s="62">
        <v>1243</v>
      </c>
    </row>
    <row r="203" spans="1:28" ht="24" x14ac:dyDescent="0.25">
      <c r="A203" s="20" t="s">
        <v>1490</v>
      </c>
      <c r="B203" s="62">
        <v>3784</v>
      </c>
      <c r="C203" s="62">
        <v>3501</v>
      </c>
      <c r="D203" s="62">
        <v>3863</v>
      </c>
      <c r="E203" s="62">
        <v>4568</v>
      </c>
      <c r="F203" s="62">
        <v>4268</v>
      </c>
      <c r="G203" s="62">
        <v>4255</v>
      </c>
      <c r="H203" s="62">
        <v>3859</v>
      </c>
      <c r="I203" s="62">
        <v>3931</v>
      </c>
      <c r="J203" s="62">
        <v>4844</v>
      </c>
      <c r="K203" s="62">
        <v>4650</v>
      </c>
      <c r="L203" s="62">
        <v>4231</v>
      </c>
      <c r="M203" s="62">
        <v>4072</v>
      </c>
      <c r="N203" s="62">
        <v>3700</v>
      </c>
      <c r="O203" s="62">
        <v>3558</v>
      </c>
      <c r="P203" s="62">
        <v>3673</v>
      </c>
      <c r="Q203" s="62">
        <v>3653</v>
      </c>
      <c r="R203" s="62">
        <v>3519</v>
      </c>
      <c r="S203" s="62">
        <v>4944</v>
      </c>
      <c r="T203" s="62">
        <v>4065</v>
      </c>
      <c r="U203" s="62">
        <v>3427</v>
      </c>
      <c r="V203" s="62">
        <v>4730</v>
      </c>
      <c r="W203" s="62">
        <v>4030</v>
      </c>
      <c r="X203" s="62">
        <v>4407</v>
      </c>
      <c r="Y203" s="62">
        <v>4014</v>
      </c>
      <c r="Z203" s="62">
        <v>1380</v>
      </c>
      <c r="AA203" s="62">
        <v>1128</v>
      </c>
      <c r="AB203" s="62">
        <v>3959</v>
      </c>
    </row>
    <row r="204" spans="1:28" x14ac:dyDescent="0.25">
      <c r="A204" s="20" t="s">
        <v>1491</v>
      </c>
      <c r="B204" s="62">
        <v>1529</v>
      </c>
      <c r="C204" s="62">
        <v>1398</v>
      </c>
      <c r="D204" s="62">
        <v>1509</v>
      </c>
      <c r="E204" s="62">
        <v>1304</v>
      </c>
      <c r="F204" s="62">
        <v>1519</v>
      </c>
      <c r="G204" s="62">
        <v>1513</v>
      </c>
      <c r="H204" s="62">
        <v>1551</v>
      </c>
      <c r="I204" s="62">
        <v>1544</v>
      </c>
      <c r="J204" s="62">
        <v>1593</v>
      </c>
      <c r="K204" s="62">
        <v>1539</v>
      </c>
      <c r="L204" s="62">
        <v>1382</v>
      </c>
      <c r="M204" s="62">
        <v>1264</v>
      </c>
      <c r="N204" s="62">
        <v>1338</v>
      </c>
      <c r="O204" s="62">
        <v>1382</v>
      </c>
      <c r="P204" s="62">
        <v>1395</v>
      </c>
      <c r="Q204" s="62">
        <v>1342</v>
      </c>
      <c r="R204" s="62">
        <v>1160</v>
      </c>
      <c r="S204" s="62">
        <v>1203</v>
      </c>
      <c r="T204" s="62">
        <v>1132</v>
      </c>
      <c r="U204">
        <v>977</v>
      </c>
      <c r="V204" s="62">
        <v>1087</v>
      </c>
      <c r="W204" s="62">
        <v>1171</v>
      </c>
      <c r="X204" s="62">
        <v>1118</v>
      </c>
      <c r="Y204" s="62">
        <v>1149</v>
      </c>
      <c r="Z204" s="62">
        <v>1038</v>
      </c>
      <c r="AA204">
        <v>999</v>
      </c>
      <c r="AB204">
        <v>992</v>
      </c>
    </row>
    <row r="205" spans="1:28" x14ac:dyDescent="0.25">
      <c r="A205" s="20" t="s">
        <v>1492</v>
      </c>
      <c r="B205">
        <v>632</v>
      </c>
      <c r="C205">
        <v>809</v>
      </c>
      <c r="D205">
        <v>843</v>
      </c>
      <c r="E205">
        <v>931</v>
      </c>
      <c r="F205">
        <v>918</v>
      </c>
      <c r="G205">
        <v>865</v>
      </c>
      <c r="H205">
        <v>925</v>
      </c>
      <c r="I205">
        <v>971</v>
      </c>
      <c r="J205">
        <v>885</v>
      </c>
      <c r="K205">
        <v>865</v>
      </c>
      <c r="L205">
        <v>944</v>
      </c>
      <c r="M205">
        <v>713</v>
      </c>
      <c r="N205">
        <v>746</v>
      </c>
      <c r="O205" s="62">
        <v>1096</v>
      </c>
      <c r="P205" s="62">
        <v>1030</v>
      </c>
      <c r="Q205" s="62">
        <v>1030</v>
      </c>
      <c r="R205" s="62">
        <v>1030</v>
      </c>
      <c r="S205" s="62">
        <v>1025</v>
      </c>
      <c r="T205" s="62">
        <v>1159</v>
      </c>
      <c r="U205">
        <v>943</v>
      </c>
      <c r="V205" s="62">
        <v>1182</v>
      </c>
      <c r="W205" s="62">
        <v>1286</v>
      </c>
      <c r="X205" s="62">
        <v>1486</v>
      </c>
      <c r="Y205" s="62">
        <v>1429</v>
      </c>
      <c r="Z205">
        <v>956</v>
      </c>
      <c r="AA205">
        <v>933</v>
      </c>
      <c r="AB205">
        <v>925</v>
      </c>
    </row>
    <row r="206" spans="1:28" x14ac:dyDescent="0.25">
      <c r="A206" s="20" t="s">
        <v>1493</v>
      </c>
      <c r="B206">
        <v>516</v>
      </c>
      <c r="C206">
        <v>485</v>
      </c>
      <c r="D206">
        <v>488</v>
      </c>
      <c r="E206">
        <v>486</v>
      </c>
      <c r="F206">
        <v>507</v>
      </c>
      <c r="G206">
        <v>553</v>
      </c>
      <c r="H206">
        <v>563</v>
      </c>
      <c r="I206">
        <v>585</v>
      </c>
      <c r="J206">
        <v>588</v>
      </c>
      <c r="K206">
        <v>587</v>
      </c>
      <c r="L206">
        <v>594</v>
      </c>
      <c r="M206">
        <v>563</v>
      </c>
      <c r="N206">
        <v>561</v>
      </c>
      <c r="O206">
        <v>574</v>
      </c>
      <c r="P206">
        <v>546</v>
      </c>
      <c r="Q206">
        <v>553</v>
      </c>
      <c r="R206">
        <v>560</v>
      </c>
      <c r="S206">
        <v>562</v>
      </c>
      <c r="T206">
        <v>547</v>
      </c>
      <c r="U206">
        <v>525</v>
      </c>
      <c r="V206">
        <v>542</v>
      </c>
      <c r="W206">
        <v>538</v>
      </c>
      <c r="X206">
        <v>527</v>
      </c>
      <c r="Y206">
        <v>546</v>
      </c>
      <c r="Z206">
        <v>459</v>
      </c>
      <c r="AA206">
        <v>473</v>
      </c>
      <c r="AB206">
        <v>482</v>
      </c>
    </row>
    <row r="207" spans="1:28" x14ac:dyDescent="0.25">
      <c r="A207" s="20" t="s">
        <v>1494</v>
      </c>
      <c r="B207">
        <v>375</v>
      </c>
      <c r="C207">
        <v>287</v>
      </c>
      <c r="D207">
        <v>313</v>
      </c>
      <c r="E207">
        <v>297</v>
      </c>
      <c r="F207">
        <v>325</v>
      </c>
      <c r="G207">
        <v>329</v>
      </c>
      <c r="H207">
        <v>332</v>
      </c>
      <c r="I207">
        <v>347</v>
      </c>
      <c r="J207">
        <v>373</v>
      </c>
      <c r="K207">
        <v>301</v>
      </c>
      <c r="L207">
        <v>248</v>
      </c>
      <c r="M207">
        <v>199</v>
      </c>
      <c r="N207">
        <v>183</v>
      </c>
      <c r="O207">
        <v>202</v>
      </c>
      <c r="P207">
        <v>224</v>
      </c>
      <c r="Q207">
        <v>219</v>
      </c>
      <c r="R207">
        <v>207</v>
      </c>
      <c r="S207">
        <v>196</v>
      </c>
      <c r="T207">
        <v>175</v>
      </c>
      <c r="U207">
        <v>145</v>
      </c>
      <c r="V207">
        <v>181</v>
      </c>
      <c r="W207">
        <v>170</v>
      </c>
      <c r="X207">
        <v>158</v>
      </c>
      <c r="Y207">
        <v>169</v>
      </c>
      <c r="Z207">
        <v>173</v>
      </c>
      <c r="AA207">
        <v>180</v>
      </c>
      <c r="AB207">
        <v>174</v>
      </c>
    </row>
    <row r="208" spans="1:28" x14ac:dyDescent="0.25">
      <c r="A208" s="20" t="s">
        <v>1495</v>
      </c>
      <c r="B208">
        <v>1</v>
      </c>
      <c r="C208">
        <v>1</v>
      </c>
      <c r="D208">
        <v>1</v>
      </c>
      <c r="E208">
        <v>1</v>
      </c>
      <c r="F208">
        <v>1</v>
      </c>
      <c r="G208">
        <v>1</v>
      </c>
      <c r="H208">
        <v>2</v>
      </c>
      <c r="I208">
        <v>2</v>
      </c>
      <c r="J208">
        <v>2</v>
      </c>
      <c r="K208">
        <v>2</v>
      </c>
      <c r="L208">
        <v>2</v>
      </c>
      <c r="M208">
        <v>3</v>
      </c>
      <c r="N208">
        <v>3</v>
      </c>
      <c r="O208">
        <v>3</v>
      </c>
      <c r="P208">
        <v>2</v>
      </c>
      <c r="Q208">
        <v>3</v>
      </c>
      <c r="R208">
        <v>3</v>
      </c>
      <c r="S208">
        <v>3</v>
      </c>
      <c r="T208">
        <v>2</v>
      </c>
      <c r="U208">
        <v>1</v>
      </c>
      <c r="V208">
        <v>1</v>
      </c>
      <c r="W208">
        <v>3</v>
      </c>
      <c r="X208">
        <v>2</v>
      </c>
      <c r="Y208">
        <v>2</v>
      </c>
      <c r="Z208">
        <v>2</v>
      </c>
      <c r="AA208">
        <v>3</v>
      </c>
      <c r="AB208">
        <v>3</v>
      </c>
    </row>
    <row r="209" spans="1:30" ht="24" x14ac:dyDescent="0.25">
      <c r="A209" s="30" t="s">
        <v>1496</v>
      </c>
      <c r="B209" s="62">
        <v>219413</v>
      </c>
      <c r="C209" s="62">
        <v>220165</v>
      </c>
      <c r="D209" s="62">
        <v>230609</v>
      </c>
      <c r="E209" s="62">
        <v>225797</v>
      </c>
      <c r="F209" s="62">
        <v>232298</v>
      </c>
      <c r="G209" s="62">
        <v>236907</v>
      </c>
      <c r="H209" s="62">
        <v>241332</v>
      </c>
      <c r="I209" s="62">
        <v>235579</v>
      </c>
      <c r="J209" s="62">
        <v>218236</v>
      </c>
      <c r="K209" s="62">
        <v>221493</v>
      </c>
      <c r="L209" s="62">
        <v>227435</v>
      </c>
      <c r="M209" s="62">
        <v>203427</v>
      </c>
      <c r="N209" s="62">
        <v>204703</v>
      </c>
      <c r="O209" s="62">
        <v>209935</v>
      </c>
      <c r="P209" s="62">
        <v>225419</v>
      </c>
      <c r="Q209" s="62">
        <v>230700</v>
      </c>
      <c r="R209" s="62">
        <v>236298</v>
      </c>
      <c r="S209" s="62">
        <v>244574</v>
      </c>
      <c r="T209" s="62">
        <v>257532</v>
      </c>
      <c r="U209" s="62">
        <v>253524</v>
      </c>
      <c r="V209" s="62">
        <v>267560</v>
      </c>
      <c r="W209" s="62">
        <v>276413</v>
      </c>
      <c r="X209" s="62">
        <v>276201</v>
      </c>
      <c r="Y209" s="62">
        <v>299785</v>
      </c>
      <c r="Z209" s="62">
        <v>307079</v>
      </c>
      <c r="AA209" s="62">
        <v>291735</v>
      </c>
      <c r="AB209" s="62">
        <v>309252</v>
      </c>
    </row>
    <row r="210" spans="1:30" x14ac:dyDescent="0.25">
      <c r="A210" s="30" t="s">
        <v>1497</v>
      </c>
      <c r="B210" s="62">
        <v>103463</v>
      </c>
      <c r="C210" s="62">
        <v>117569</v>
      </c>
      <c r="D210" s="62">
        <v>107863</v>
      </c>
      <c r="E210" s="62">
        <v>97829</v>
      </c>
      <c r="F210" s="62">
        <v>96689</v>
      </c>
      <c r="G210" s="62">
        <v>98492</v>
      </c>
      <c r="H210" s="62">
        <v>99750</v>
      </c>
      <c r="I210" s="62">
        <v>106961</v>
      </c>
      <c r="J210" s="62">
        <v>110491</v>
      </c>
      <c r="K210" s="62">
        <v>102733</v>
      </c>
      <c r="L210" s="62">
        <v>101726</v>
      </c>
      <c r="M210" s="62">
        <v>93731</v>
      </c>
      <c r="N210" s="62">
        <v>94443</v>
      </c>
      <c r="O210" s="62">
        <v>98310</v>
      </c>
      <c r="P210" s="62">
        <v>108391</v>
      </c>
      <c r="Q210" s="62">
        <v>113139</v>
      </c>
      <c r="R210" s="62">
        <v>114116</v>
      </c>
      <c r="S210" s="62">
        <v>115345</v>
      </c>
      <c r="T210" s="62">
        <v>114342</v>
      </c>
      <c r="U210" s="62">
        <v>106410</v>
      </c>
      <c r="V210" s="62">
        <v>116992</v>
      </c>
      <c r="W210" s="62">
        <v>111660</v>
      </c>
      <c r="X210" s="62">
        <v>105805</v>
      </c>
      <c r="Y210" s="62">
        <v>99763</v>
      </c>
      <c r="Z210" s="62">
        <v>103201</v>
      </c>
      <c r="AA210" s="62">
        <v>110751</v>
      </c>
      <c r="AB210" s="62">
        <v>116594</v>
      </c>
    </row>
    <row r="211" spans="1:30" x14ac:dyDescent="0.25">
      <c r="A211" s="30" t="s">
        <v>1498</v>
      </c>
      <c r="B211" s="62">
        <v>31232</v>
      </c>
      <c r="C211" s="62">
        <v>31413</v>
      </c>
      <c r="D211" s="62">
        <v>31370</v>
      </c>
      <c r="E211" s="62">
        <v>30764</v>
      </c>
      <c r="F211" s="62">
        <v>30917</v>
      </c>
      <c r="G211" s="62">
        <v>30605</v>
      </c>
      <c r="H211" s="62">
        <v>30259</v>
      </c>
      <c r="I211" s="62">
        <v>29619</v>
      </c>
      <c r="J211" s="62">
        <v>29031</v>
      </c>
      <c r="K211" s="62">
        <v>28557</v>
      </c>
      <c r="L211" s="62">
        <v>28169</v>
      </c>
      <c r="M211" s="62">
        <v>27831</v>
      </c>
      <c r="N211" s="62">
        <v>27369</v>
      </c>
      <c r="O211" s="62">
        <v>27376</v>
      </c>
      <c r="P211" s="62">
        <v>27032</v>
      </c>
      <c r="Q211" s="62">
        <v>27238</v>
      </c>
      <c r="R211" s="62">
        <v>27283</v>
      </c>
      <c r="S211" s="62">
        <v>27439</v>
      </c>
      <c r="T211" s="62">
        <v>27804</v>
      </c>
      <c r="U211" s="62">
        <v>27616</v>
      </c>
      <c r="V211" s="62">
        <v>27685</v>
      </c>
      <c r="W211" s="62">
        <v>26884</v>
      </c>
      <c r="X211" s="62">
        <v>26643</v>
      </c>
      <c r="Y211" s="62">
        <v>26351</v>
      </c>
      <c r="Z211" s="62">
        <v>26366</v>
      </c>
      <c r="AA211" s="62">
        <v>26229</v>
      </c>
      <c r="AB211" s="62">
        <v>26298</v>
      </c>
    </row>
    <row r="212" spans="1:30" x14ac:dyDescent="0.25">
      <c r="A212" s="20" t="s">
        <v>1499</v>
      </c>
      <c r="B212" s="62">
        <v>6566</v>
      </c>
      <c r="C212" s="62">
        <v>6576</v>
      </c>
      <c r="D212" s="62">
        <v>6767</v>
      </c>
      <c r="E212" s="62">
        <v>6864</v>
      </c>
      <c r="F212" s="62">
        <v>6989</v>
      </c>
      <c r="G212" s="62">
        <v>7146</v>
      </c>
      <c r="H212" s="62">
        <v>7100</v>
      </c>
      <c r="I212" s="62">
        <v>6965</v>
      </c>
      <c r="J212" s="62">
        <v>6891</v>
      </c>
      <c r="K212" s="62">
        <v>6897</v>
      </c>
      <c r="L212" s="62">
        <v>6824</v>
      </c>
      <c r="M212" s="62">
        <v>6784</v>
      </c>
      <c r="N212" s="62">
        <v>6794</v>
      </c>
      <c r="O212" s="62">
        <v>6801</v>
      </c>
      <c r="P212" s="62">
        <v>6674</v>
      </c>
      <c r="Q212" s="62">
        <v>6755</v>
      </c>
      <c r="R212" s="62">
        <v>6863</v>
      </c>
      <c r="S212" s="62">
        <v>6979</v>
      </c>
      <c r="T212" s="62">
        <v>6954</v>
      </c>
      <c r="U212" s="62">
        <v>6920</v>
      </c>
      <c r="V212" s="62">
        <v>6853</v>
      </c>
      <c r="W212" s="62">
        <v>6757</v>
      </c>
      <c r="X212" s="62">
        <v>6670</v>
      </c>
      <c r="Y212" s="62">
        <v>6619</v>
      </c>
      <c r="Z212" s="62">
        <v>6567</v>
      </c>
      <c r="AA212" s="62">
        <v>6661</v>
      </c>
      <c r="AB212" s="62">
        <v>6805</v>
      </c>
      <c r="AD212" s="62"/>
    </row>
    <row r="213" spans="1:30" x14ac:dyDescent="0.25">
      <c r="A213" s="20" t="s">
        <v>1474</v>
      </c>
      <c r="B213" s="62">
        <v>7762</v>
      </c>
      <c r="C213" s="62">
        <v>7860</v>
      </c>
      <c r="D213" s="62">
        <v>7812</v>
      </c>
      <c r="E213" s="62">
        <v>7713</v>
      </c>
      <c r="F213" s="62">
        <v>7691</v>
      </c>
      <c r="G213" s="62">
        <v>7398</v>
      </c>
      <c r="H213" s="62">
        <v>7274</v>
      </c>
      <c r="I213" s="62">
        <v>7168</v>
      </c>
      <c r="J213" s="62">
        <v>6978</v>
      </c>
      <c r="K213" s="62">
        <v>6915</v>
      </c>
      <c r="L213" s="62">
        <v>6788</v>
      </c>
      <c r="M213" s="62">
        <v>6793</v>
      </c>
      <c r="N213" s="62">
        <v>6535</v>
      </c>
      <c r="O213" s="62">
        <v>6492</v>
      </c>
      <c r="P213" s="62">
        <v>6407</v>
      </c>
      <c r="Q213" s="62">
        <v>6387</v>
      </c>
      <c r="R213" s="62">
        <v>6488</v>
      </c>
      <c r="S213" s="62">
        <v>6392</v>
      </c>
      <c r="T213" s="62">
        <v>6510</v>
      </c>
      <c r="U213" s="62">
        <v>6243</v>
      </c>
      <c r="V213" s="62">
        <v>6092</v>
      </c>
      <c r="W213" s="62">
        <v>6180</v>
      </c>
      <c r="X213" s="62">
        <v>6247</v>
      </c>
      <c r="Y213" s="62">
        <v>6368</v>
      </c>
      <c r="Z213" s="62">
        <v>6501</v>
      </c>
      <c r="AA213" s="62">
        <v>6497</v>
      </c>
      <c r="AB213" s="62">
        <v>6541</v>
      </c>
      <c r="AD213" s="62"/>
    </row>
    <row r="214" spans="1:30" x14ac:dyDescent="0.25">
      <c r="A214" s="20" t="s">
        <v>1500</v>
      </c>
      <c r="B214" s="62">
        <v>7182</v>
      </c>
      <c r="C214" s="62">
        <v>7267</v>
      </c>
      <c r="D214" s="62">
        <v>7255</v>
      </c>
      <c r="E214" s="62">
        <v>7169</v>
      </c>
      <c r="F214" s="62">
        <v>7159</v>
      </c>
      <c r="G214" s="62">
        <v>6967</v>
      </c>
      <c r="H214" s="62">
        <v>6822</v>
      </c>
      <c r="I214" s="62">
        <v>6444</v>
      </c>
      <c r="J214" s="62">
        <v>6054</v>
      </c>
      <c r="K214" s="62">
        <v>5786</v>
      </c>
      <c r="L214" s="62">
        <v>5656</v>
      </c>
      <c r="M214" s="62">
        <v>5472</v>
      </c>
      <c r="N214" s="62">
        <v>5394</v>
      </c>
      <c r="O214" s="62">
        <v>5496</v>
      </c>
      <c r="P214" s="62">
        <v>5395</v>
      </c>
      <c r="Q214" s="62">
        <v>5372</v>
      </c>
      <c r="R214" s="62">
        <v>5292</v>
      </c>
      <c r="S214" s="62">
        <v>5213</v>
      </c>
      <c r="T214" s="62">
        <v>5136</v>
      </c>
      <c r="U214" s="62">
        <v>5058</v>
      </c>
      <c r="V214" s="62">
        <v>5103</v>
      </c>
      <c r="W214" s="62">
        <v>4760</v>
      </c>
      <c r="X214" s="62">
        <v>4834</v>
      </c>
      <c r="Y214" s="62">
        <v>4669</v>
      </c>
      <c r="Z214" s="62">
        <v>4663</v>
      </c>
      <c r="AA214" s="62">
        <v>4628</v>
      </c>
      <c r="AB214" s="62">
        <v>4306</v>
      </c>
      <c r="AD214" s="62"/>
    </row>
    <row r="215" spans="1:30" x14ac:dyDescent="0.25">
      <c r="A215" s="20" t="s">
        <v>1501</v>
      </c>
      <c r="B215" s="62">
        <v>1486</v>
      </c>
      <c r="C215" s="62">
        <v>1555</v>
      </c>
      <c r="D215" s="62">
        <v>1500</v>
      </c>
      <c r="E215" s="62">
        <v>1569</v>
      </c>
      <c r="F215" s="62">
        <v>1679</v>
      </c>
      <c r="G215" s="62">
        <v>1731</v>
      </c>
      <c r="H215" s="62">
        <v>1704</v>
      </c>
      <c r="I215" s="62">
        <v>1786</v>
      </c>
      <c r="J215" s="62">
        <v>1949</v>
      </c>
      <c r="K215" s="62">
        <v>1972</v>
      </c>
      <c r="L215" s="62">
        <v>2001</v>
      </c>
      <c r="M215" s="62">
        <v>2088</v>
      </c>
      <c r="N215" s="62">
        <v>2141</v>
      </c>
      <c r="O215" s="62">
        <v>2175</v>
      </c>
      <c r="P215" s="62">
        <v>2122</v>
      </c>
      <c r="Q215" s="62">
        <v>2254</v>
      </c>
      <c r="R215" s="62">
        <v>2278</v>
      </c>
      <c r="S215" s="62">
        <v>2480</v>
      </c>
      <c r="T215" s="62">
        <v>2455</v>
      </c>
      <c r="U215" s="62">
        <v>2414</v>
      </c>
      <c r="V215" s="62">
        <v>2482</v>
      </c>
      <c r="W215" s="62">
        <v>2519</v>
      </c>
      <c r="X215" s="62">
        <v>2625</v>
      </c>
      <c r="Y215" s="62">
        <v>2530</v>
      </c>
      <c r="Z215" s="62">
        <v>2514</v>
      </c>
      <c r="AA215" s="62">
        <v>2651</v>
      </c>
      <c r="AB215" s="62">
        <v>2709</v>
      </c>
      <c r="AD215" s="62"/>
    </row>
    <row r="216" spans="1:30" x14ac:dyDescent="0.25">
      <c r="A216" s="20" t="s">
        <v>1502</v>
      </c>
      <c r="B216" s="62">
        <v>3860</v>
      </c>
      <c r="C216" s="62">
        <v>3727</v>
      </c>
      <c r="D216" s="62">
        <v>3626</v>
      </c>
      <c r="E216" s="62">
        <v>3091</v>
      </c>
      <c r="F216" s="62">
        <v>3104</v>
      </c>
      <c r="G216" s="62">
        <v>3056</v>
      </c>
      <c r="H216" s="62">
        <v>3038</v>
      </c>
      <c r="I216" s="62">
        <v>3017</v>
      </c>
      <c r="J216" s="62">
        <v>3029</v>
      </c>
      <c r="K216" s="62">
        <v>2848</v>
      </c>
      <c r="L216" s="62">
        <v>2730</v>
      </c>
      <c r="M216" s="62">
        <v>2720</v>
      </c>
      <c r="N216" s="62">
        <v>2552</v>
      </c>
      <c r="O216" s="62">
        <v>2559</v>
      </c>
      <c r="P216" s="62">
        <v>2611</v>
      </c>
      <c r="Q216" s="62">
        <v>2565</v>
      </c>
      <c r="R216" s="62">
        <v>2622</v>
      </c>
      <c r="S216" s="62">
        <v>2591</v>
      </c>
      <c r="T216" s="62">
        <v>3026</v>
      </c>
      <c r="U216" s="62">
        <v>3194</v>
      </c>
      <c r="V216" s="62">
        <v>3293</v>
      </c>
      <c r="W216" s="62">
        <v>2849</v>
      </c>
      <c r="X216" s="62">
        <v>2658</v>
      </c>
      <c r="Y216" s="62">
        <v>2584</v>
      </c>
      <c r="Z216" s="62">
        <v>2593</v>
      </c>
      <c r="AA216" s="62">
        <v>2436</v>
      </c>
      <c r="AB216" s="62">
        <v>2153</v>
      </c>
      <c r="AD216" s="62"/>
    </row>
    <row r="217" spans="1:30" x14ac:dyDescent="0.25">
      <c r="A217" s="20" t="s">
        <v>1484</v>
      </c>
      <c r="B217" s="62">
        <v>2218</v>
      </c>
      <c r="C217" s="62">
        <v>2221</v>
      </c>
      <c r="D217" s="62">
        <v>2152</v>
      </c>
      <c r="E217" s="62">
        <v>2105</v>
      </c>
      <c r="F217" s="62">
        <v>2067</v>
      </c>
      <c r="G217" s="62">
        <v>2035</v>
      </c>
      <c r="H217" s="62">
        <v>2021</v>
      </c>
      <c r="I217" s="62">
        <v>2017</v>
      </c>
      <c r="J217" s="62">
        <v>1959</v>
      </c>
      <c r="K217" s="62">
        <v>1893</v>
      </c>
      <c r="L217" s="62">
        <v>1892</v>
      </c>
      <c r="M217" s="62">
        <v>1885</v>
      </c>
      <c r="N217" s="62">
        <v>1861</v>
      </c>
      <c r="O217" s="62">
        <v>1852</v>
      </c>
      <c r="P217" s="62">
        <v>1841</v>
      </c>
      <c r="Q217" s="62">
        <v>1840</v>
      </c>
      <c r="R217" s="62">
        <v>1852</v>
      </c>
      <c r="S217" s="62">
        <v>1849</v>
      </c>
      <c r="T217" s="62">
        <v>1882</v>
      </c>
      <c r="U217" s="62">
        <v>1848</v>
      </c>
      <c r="V217" s="62">
        <v>1878</v>
      </c>
      <c r="W217" s="62">
        <v>1922</v>
      </c>
      <c r="X217" s="62">
        <v>1858</v>
      </c>
      <c r="Y217" s="62">
        <v>1778</v>
      </c>
      <c r="Z217" s="62">
        <v>1721</v>
      </c>
      <c r="AA217" s="62">
        <v>1595</v>
      </c>
      <c r="AB217" s="62">
        <v>1544</v>
      </c>
      <c r="AD217" s="62"/>
    </row>
    <row r="218" spans="1:30" x14ac:dyDescent="0.25">
      <c r="A218" s="20" t="s">
        <v>1503</v>
      </c>
      <c r="B218">
        <v>627</v>
      </c>
      <c r="C218">
        <v>637</v>
      </c>
      <c r="D218">
        <v>649</v>
      </c>
      <c r="E218">
        <v>648</v>
      </c>
      <c r="F218">
        <v>655</v>
      </c>
      <c r="G218">
        <v>657</v>
      </c>
      <c r="H218">
        <v>656</v>
      </c>
      <c r="I218">
        <v>661</v>
      </c>
      <c r="J218">
        <v>662</v>
      </c>
      <c r="K218">
        <v>665</v>
      </c>
      <c r="L218">
        <v>663</v>
      </c>
      <c r="M218">
        <v>651</v>
      </c>
      <c r="N218">
        <v>651</v>
      </c>
      <c r="O218">
        <v>643</v>
      </c>
      <c r="P218">
        <v>637</v>
      </c>
      <c r="Q218">
        <v>639</v>
      </c>
      <c r="R218">
        <v>639</v>
      </c>
      <c r="S218">
        <v>639</v>
      </c>
      <c r="T218">
        <v>639</v>
      </c>
      <c r="U218">
        <v>626</v>
      </c>
      <c r="V218">
        <v>622</v>
      </c>
      <c r="W218">
        <v>613</v>
      </c>
      <c r="X218">
        <v>604</v>
      </c>
      <c r="Y218">
        <v>597</v>
      </c>
      <c r="Z218">
        <v>592</v>
      </c>
      <c r="AA218">
        <v>591</v>
      </c>
      <c r="AB218">
        <v>593</v>
      </c>
    </row>
    <row r="219" spans="1:30" x14ac:dyDescent="0.25">
      <c r="A219" s="20" t="s">
        <v>1504</v>
      </c>
      <c r="B219">
        <v>641</v>
      </c>
      <c r="C219">
        <v>673</v>
      </c>
      <c r="D219">
        <v>675</v>
      </c>
      <c r="E219">
        <v>678</v>
      </c>
      <c r="F219">
        <v>594</v>
      </c>
      <c r="G219">
        <v>631</v>
      </c>
      <c r="H219">
        <v>639</v>
      </c>
      <c r="I219">
        <v>632</v>
      </c>
      <c r="J219">
        <v>644</v>
      </c>
      <c r="K219">
        <v>723</v>
      </c>
      <c r="L219">
        <v>731</v>
      </c>
      <c r="M219">
        <v>622</v>
      </c>
      <c r="N219">
        <v>659</v>
      </c>
      <c r="O219">
        <v>572</v>
      </c>
      <c r="P219">
        <v>565</v>
      </c>
      <c r="Q219">
        <v>667</v>
      </c>
      <c r="R219">
        <v>515</v>
      </c>
      <c r="S219">
        <v>558</v>
      </c>
      <c r="T219">
        <v>460</v>
      </c>
      <c r="U219">
        <v>578</v>
      </c>
      <c r="V219">
        <v>635</v>
      </c>
      <c r="W219">
        <v>564</v>
      </c>
      <c r="X219">
        <v>453</v>
      </c>
      <c r="Y219">
        <v>454</v>
      </c>
      <c r="Z219">
        <v>456</v>
      </c>
      <c r="AA219">
        <v>449</v>
      </c>
      <c r="AB219">
        <v>549</v>
      </c>
    </row>
    <row r="220" spans="1:30" x14ac:dyDescent="0.25">
      <c r="A220" s="20" t="s">
        <v>1505</v>
      </c>
      <c r="B220">
        <v>339</v>
      </c>
      <c r="C220">
        <v>346</v>
      </c>
      <c r="D220">
        <v>358</v>
      </c>
      <c r="E220">
        <v>336</v>
      </c>
      <c r="F220">
        <v>328</v>
      </c>
      <c r="G220">
        <v>327</v>
      </c>
      <c r="H220">
        <v>340</v>
      </c>
      <c r="I220">
        <v>307</v>
      </c>
      <c r="J220">
        <v>280</v>
      </c>
      <c r="K220">
        <v>286</v>
      </c>
      <c r="L220">
        <v>300</v>
      </c>
      <c r="M220">
        <v>279</v>
      </c>
      <c r="N220">
        <v>279</v>
      </c>
      <c r="O220">
        <v>288</v>
      </c>
      <c r="P220">
        <v>294</v>
      </c>
      <c r="Q220">
        <v>296</v>
      </c>
      <c r="R220">
        <v>275</v>
      </c>
      <c r="S220">
        <v>289</v>
      </c>
      <c r="T220">
        <v>298</v>
      </c>
      <c r="U220">
        <v>296</v>
      </c>
      <c r="V220">
        <v>283</v>
      </c>
      <c r="W220">
        <v>283</v>
      </c>
      <c r="X220">
        <v>265</v>
      </c>
      <c r="Y220">
        <v>320</v>
      </c>
      <c r="Z220">
        <v>323</v>
      </c>
      <c r="AA220">
        <v>280</v>
      </c>
      <c r="AB220">
        <v>293</v>
      </c>
    </row>
    <row r="221" spans="1:30" x14ac:dyDescent="0.25">
      <c r="A221" s="20" t="s">
        <v>1506</v>
      </c>
      <c r="B221">
        <v>288</v>
      </c>
      <c r="C221">
        <v>294</v>
      </c>
      <c r="D221">
        <v>317</v>
      </c>
      <c r="E221">
        <v>328</v>
      </c>
      <c r="F221">
        <v>387</v>
      </c>
      <c r="G221">
        <v>392</v>
      </c>
      <c r="H221">
        <v>403</v>
      </c>
      <c r="I221">
        <v>360</v>
      </c>
      <c r="J221">
        <v>329</v>
      </c>
      <c r="K221">
        <v>332</v>
      </c>
      <c r="L221">
        <v>350</v>
      </c>
      <c r="M221">
        <v>319</v>
      </c>
      <c r="N221">
        <v>293</v>
      </c>
      <c r="O221">
        <v>286</v>
      </c>
      <c r="P221">
        <v>276</v>
      </c>
      <c r="Q221">
        <v>264</v>
      </c>
      <c r="R221">
        <v>261</v>
      </c>
      <c r="S221">
        <v>254</v>
      </c>
      <c r="T221">
        <v>253</v>
      </c>
      <c r="U221">
        <v>254</v>
      </c>
      <c r="V221">
        <v>263</v>
      </c>
      <c r="W221">
        <v>257</v>
      </c>
      <c r="X221">
        <v>249</v>
      </c>
      <c r="Y221">
        <v>249</v>
      </c>
      <c r="Z221">
        <v>253</v>
      </c>
      <c r="AA221">
        <v>256</v>
      </c>
      <c r="AB221">
        <v>268</v>
      </c>
    </row>
    <row r="222" spans="1:30" x14ac:dyDescent="0.25">
      <c r="A222" s="20" t="s">
        <v>1507</v>
      </c>
      <c r="B222">
        <v>15</v>
      </c>
      <c r="C222">
        <v>17</v>
      </c>
      <c r="D222">
        <v>20</v>
      </c>
      <c r="E222">
        <v>25</v>
      </c>
      <c r="F222">
        <v>31</v>
      </c>
      <c r="G222">
        <v>35</v>
      </c>
      <c r="H222">
        <v>40</v>
      </c>
      <c r="I222">
        <v>44</v>
      </c>
      <c r="J222">
        <v>48</v>
      </c>
      <c r="K222">
        <v>53</v>
      </c>
      <c r="L222">
        <v>60</v>
      </c>
      <c r="M222">
        <v>60</v>
      </c>
      <c r="N222">
        <v>61</v>
      </c>
      <c r="O222">
        <v>69</v>
      </c>
      <c r="P222">
        <v>74</v>
      </c>
      <c r="Q222">
        <v>75</v>
      </c>
      <c r="R222">
        <v>75</v>
      </c>
      <c r="S222">
        <v>79</v>
      </c>
      <c r="T222">
        <v>80</v>
      </c>
      <c r="U222">
        <v>75</v>
      </c>
      <c r="V222">
        <v>73</v>
      </c>
      <c r="W222">
        <v>75</v>
      </c>
      <c r="X222">
        <v>77</v>
      </c>
      <c r="Y222">
        <v>81</v>
      </c>
      <c r="Z222">
        <v>84</v>
      </c>
      <c r="AA222">
        <v>84</v>
      </c>
      <c r="AB222">
        <v>85</v>
      </c>
    </row>
    <row r="223" spans="1:30" x14ac:dyDescent="0.25">
      <c r="A223" s="30" t="s">
        <v>1508</v>
      </c>
      <c r="B223">
        <v>226</v>
      </c>
      <c r="C223">
        <v>220</v>
      </c>
      <c r="D223">
        <v>219</v>
      </c>
      <c r="E223">
        <v>216</v>
      </c>
      <c r="F223">
        <v>212</v>
      </c>
      <c r="G223">
        <v>206</v>
      </c>
      <c r="H223">
        <v>198</v>
      </c>
      <c r="I223">
        <v>191</v>
      </c>
      <c r="J223">
        <v>183</v>
      </c>
      <c r="K223">
        <v>159</v>
      </c>
      <c r="L223">
        <v>149</v>
      </c>
      <c r="M223">
        <v>139</v>
      </c>
      <c r="N223">
        <v>130</v>
      </c>
      <c r="O223">
        <v>122</v>
      </c>
      <c r="P223">
        <v>118</v>
      </c>
      <c r="Q223">
        <v>113</v>
      </c>
      <c r="R223">
        <v>109</v>
      </c>
      <c r="S223">
        <v>102</v>
      </c>
      <c r="T223">
        <v>96</v>
      </c>
      <c r="U223">
        <v>94</v>
      </c>
      <c r="V223">
        <v>93</v>
      </c>
      <c r="W223">
        <v>91</v>
      </c>
      <c r="X223">
        <v>87</v>
      </c>
      <c r="Y223">
        <v>85</v>
      </c>
      <c r="Z223">
        <v>82</v>
      </c>
      <c r="AA223">
        <v>80</v>
      </c>
      <c r="AB223">
        <v>146</v>
      </c>
    </row>
    <row r="224" spans="1:30" x14ac:dyDescent="0.25">
      <c r="A224" s="20" t="s">
        <v>1509</v>
      </c>
      <c r="B224">
        <v>9</v>
      </c>
      <c r="C224">
        <v>8</v>
      </c>
      <c r="D224">
        <v>9</v>
      </c>
      <c r="E224">
        <v>9</v>
      </c>
      <c r="F224">
        <v>9</v>
      </c>
      <c r="G224">
        <v>9</v>
      </c>
      <c r="H224">
        <v>9</v>
      </c>
      <c r="I224">
        <v>9</v>
      </c>
      <c r="J224">
        <v>9</v>
      </c>
      <c r="K224">
        <v>10</v>
      </c>
      <c r="L224">
        <v>11</v>
      </c>
      <c r="M224">
        <v>10</v>
      </c>
      <c r="N224">
        <v>10</v>
      </c>
      <c r="O224">
        <v>11</v>
      </c>
      <c r="P224">
        <v>10</v>
      </c>
      <c r="Q224">
        <v>8</v>
      </c>
      <c r="R224">
        <v>11</v>
      </c>
      <c r="S224">
        <v>11</v>
      </c>
      <c r="T224">
        <v>12</v>
      </c>
      <c r="U224">
        <v>11</v>
      </c>
      <c r="V224">
        <v>11</v>
      </c>
      <c r="W224">
        <v>11</v>
      </c>
      <c r="X224">
        <v>11</v>
      </c>
      <c r="Y224">
        <v>11</v>
      </c>
      <c r="Z224">
        <v>11</v>
      </c>
      <c r="AA224">
        <v>11</v>
      </c>
      <c r="AB224">
        <v>11</v>
      </c>
    </row>
    <row r="225" spans="1:32" x14ac:dyDescent="0.25">
      <c r="A225" s="20" t="s">
        <v>1476</v>
      </c>
      <c r="B225">
        <v>9</v>
      </c>
      <c r="C225">
        <v>9</v>
      </c>
      <c r="D225">
        <v>9</v>
      </c>
      <c r="E225">
        <v>11</v>
      </c>
      <c r="F225">
        <v>12</v>
      </c>
      <c r="G225">
        <v>12</v>
      </c>
      <c r="H225">
        <v>13</v>
      </c>
      <c r="I225">
        <v>14</v>
      </c>
      <c r="J225">
        <v>14</v>
      </c>
      <c r="K225">
        <v>13</v>
      </c>
      <c r="L225">
        <v>12</v>
      </c>
      <c r="M225">
        <v>8</v>
      </c>
      <c r="N225">
        <v>8</v>
      </c>
      <c r="O225">
        <v>8</v>
      </c>
      <c r="P225">
        <v>7</v>
      </c>
      <c r="Q225">
        <v>3</v>
      </c>
      <c r="R225">
        <v>2</v>
      </c>
      <c r="S225">
        <v>2</v>
      </c>
      <c r="T225">
        <v>2</v>
      </c>
      <c r="U225">
        <v>2</v>
      </c>
      <c r="V225">
        <v>2</v>
      </c>
      <c r="W225">
        <v>2</v>
      </c>
      <c r="X225">
        <v>3</v>
      </c>
      <c r="Y225">
        <v>3</v>
      </c>
      <c r="Z225">
        <v>5</v>
      </c>
      <c r="AA225">
        <v>7</v>
      </c>
      <c r="AB225">
        <v>10</v>
      </c>
    </row>
    <row r="226" spans="1:32" x14ac:dyDescent="0.25">
      <c r="A226" s="20" t="s">
        <v>1487</v>
      </c>
      <c r="B226">
        <v>1</v>
      </c>
      <c r="C226">
        <v>1</v>
      </c>
      <c r="D226">
        <v>1</v>
      </c>
      <c r="E226">
        <v>1</v>
      </c>
      <c r="F226">
        <v>1</v>
      </c>
      <c r="G226">
        <v>1</v>
      </c>
      <c r="H226">
        <v>1</v>
      </c>
      <c r="I226">
        <v>1</v>
      </c>
      <c r="J226">
        <v>1</v>
      </c>
      <c r="K226">
        <v>1</v>
      </c>
      <c r="L226">
        <v>1</v>
      </c>
      <c r="M226">
        <v>0</v>
      </c>
      <c r="N226">
        <v>0</v>
      </c>
      <c r="O226">
        <v>0</v>
      </c>
      <c r="P226">
        <v>0</v>
      </c>
      <c r="Q226">
        <v>0</v>
      </c>
      <c r="R226">
        <v>0</v>
      </c>
      <c r="S226">
        <v>0</v>
      </c>
      <c r="T226">
        <v>0</v>
      </c>
      <c r="U226">
        <v>0</v>
      </c>
      <c r="V226">
        <v>0</v>
      </c>
      <c r="W226">
        <v>0</v>
      </c>
      <c r="X226">
        <v>1</v>
      </c>
      <c r="Y226">
        <v>0</v>
      </c>
      <c r="Z226">
        <v>1</v>
      </c>
      <c r="AA226">
        <v>1</v>
      </c>
      <c r="AB226">
        <v>1</v>
      </c>
    </row>
    <row r="227" spans="1:32" x14ac:dyDescent="0.25">
      <c r="A227" s="20" t="s">
        <v>1494</v>
      </c>
      <c r="B227">
        <v>1</v>
      </c>
      <c r="C227">
        <v>1</v>
      </c>
      <c r="D227">
        <v>1</v>
      </c>
      <c r="E227">
        <v>1</v>
      </c>
      <c r="F227">
        <v>1</v>
      </c>
      <c r="G227">
        <v>1</v>
      </c>
      <c r="H227">
        <v>1</v>
      </c>
      <c r="I227">
        <v>1</v>
      </c>
      <c r="J227">
        <v>1</v>
      </c>
      <c r="K227">
        <v>1</v>
      </c>
      <c r="L227">
        <v>1</v>
      </c>
      <c r="M227">
        <v>0</v>
      </c>
      <c r="N227">
        <v>0</v>
      </c>
      <c r="O227">
        <v>0</v>
      </c>
      <c r="P227">
        <v>0</v>
      </c>
      <c r="Q227">
        <v>0</v>
      </c>
      <c r="R227">
        <v>0</v>
      </c>
      <c r="S227">
        <v>0</v>
      </c>
      <c r="T227">
        <v>0</v>
      </c>
      <c r="U227">
        <v>0</v>
      </c>
      <c r="V227">
        <v>0</v>
      </c>
      <c r="W227">
        <v>0</v>
      </c>
      <c r="X227">
        <v>0</v>
      </c>
      <c r="Y227">
        <v>0</v>
      </c>
      <c r="Z227">
        <v>0</v>
      </c>
      <c r="AA227">
        <v>0</v>
      </c>
      <c r="AB227">
        <v>0</v>
      </c>
    </row>
    <row r="228" spans="1:32" ht="24" x14ac:dyDescent="0.25">
      <c r="A228" s="20" t="s">
        <v>1473</v>
      </c>
      <c r="B228">
        <v>1</v>
      </c>
      <c r="C228">
        <v>1</v>
      </c>
      <c r="D228">
        <v>1</v>
      </c>
      <c r="E228">
        <v>1</v>
      </c>
      <c r="F228">
        <v>1</v>
      </c>
      <c r="G228">
        <v>1</v>
      </c>
      <c r="H228">
        <v>1</v>
      </c>
      <c r="I228">
        <v>1</v>
      </c>
      <c r="J228">
        <v>1</v>
      </c>
      <c r="K228">
        <v>1</v>
      </c>
      <c r="L228">
        <v>1</v>
      </c>
      <c r="M228">
        <v>1</v>
      </c>
      <c r="N228">
        <v>1</v>
      </c>
      <c r="O228">
        <v>1</v>
      </c>
      <c r="P228">
        <v>1</v>
      </c>
      <c r="Q228">
        <v>1</v>
      </c>
      <c r="R228">
        <v>0</v>
      </c>
      <c r="S228">
        <v>0</v>
      </c>
      <c r="T228">
        <v>0</v>
      </c>
      <c r="U228">
        <v>0</v>
      </c>
      <c r="V228">
        <v>0</v>
      </c>
      <c r="W228">
        <v>0</v>
      </c>
      <c r="X228">
        <v>0</v>
      </c>
      <c r="Y228">
        <v>0</v>
      </c>
      <c r="Z228">
        <v>0</v>
      </c>
      <c r="AA228">
        <v>0</v>
      </c>
      <c r="AB228">
        <v>0</v>
      </c>
    </row>
    <row r="229" spans="1:32" x14ac:dyDescent="0.25">
      <c r="A229" s="20" t="s">
        <v>1480</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row>
    <row r="230" spans="1:32" x14ac:dyDescent="0.25">
      <c r="A230" s="30" t="s">
        <v>1497</v>
      </c>
      <c r="B230">
        <v>7</v>
      </c>
      <c r="C230">
        <v>7</v>
      </c>
      <c r="D230">
        <v>6</v>
      </c>
      <c r="E230">
        <v>5</v>
      </c>
      <c r="F230">
        <v>5</v>
      </c>
      <c r="G230">
        <v>5</v>
      </c>
      <c r="H230">
        <v>5</v>
      </c>
      <c r="I230">
        <v>5</v>
      </c>
      <c r="J230">
        <v>6</v>
      </c>
      <c r="K230">
        <v>5</v>
      </c>
      <c r="L230">
        <v>4</v>
      </c>
      <c r="M230">
        <v>4</v>
      </c>
      <c r="N230">
        <v>4</v>
      </c>
      <c r="O230">
        <v>4</v>
      </c>
      <c r="P230">
        <v>5</v>
      </c>
      <c r="Q230">
        <v>5</v>
      </c>
      <c r="R230">
        <v>5</v>
      </c>
      <c r="S230">
        <v>5</v>
      </c>
      <c r="T230">
        <v>6</v>
      </c>
      <c r="U230">
        <v>5</v>
      </c>
      <c r="V230">
        <v>6</v>
      </c>
      <c r="W230">
        <v>5</v>
      </c>
      <c r="X230">
        <v>4</v>
      </c>
      <c r="Y230">
        <v>3</v>
      </c>
      <c r="Z230">
        <v>3</v>
      </c>
      <c r="AA230">
        <v>3</v>
      </c>
      <c r="AB230">
        <v>4</v>
      </c>
    </row>
    <row r="231" spans="1:32" x14ac:dyDescent="0.25">
      <c r="A231" s="30" t="s">
        <v>1510</v>
      </c>
      <c r="B231" s="62">
        <v>1207</v>
      </c>
      <c r="C231" s="62">
        <v>1204</v>
      </c>
      <c r="D231" s="62">
        <v>1214</v>
      </c>
      <c r="E231" s="62">
        <v>1255</v>
      </c>
      <c r="F231" s="62">
        <v>1224</v>
      </c>
      <c r="G231" s="62">
        <v>1265</v>
      </c>
      <c r="H231" s="62">
        <v>1287</v>
      </c>
      <c r="I231" s="62">
        <v>1256</v>
      </c>
      <c r="J231" s="62">
        <v>1304</v>
      </c>
      <c r="K231" s="62">
        <v>1218</v>
      </c>
      <c r="L231" s="62">
        <v>1215</v>
      </c>
      <c r="M231" s="62">
        <v>1221</v>
      </c>
      <c r="N231" s="62">
        <v>1215</v>
      </c>
      <c r="O231" s="62">
        <v>1228</v>
      </c>
      <c r="P231" s="62">
        <v>1295</v>
      </c>
      <c r="Q231" s="62">
        <v>1214</v>
      </c>
      <c r="R231" s="62">
        <v>1245</v>
      </c>
      <c r="S231" s="62">
        <v>1271</v>
      </c>
      <c r="T231" s="62">
        <v>1213</v>
      </c>
      <c r="U231" s="62">
        <v>1216</v>
      </c>
      <c r="V231" s="62">
        <v>1243</v>
      </c>
      <c r="W231" s="62">
        <v>1222</v>
      </c>
      <c r="X231" s="62">
        <v>1143</v>
      </c>
      <c r="Y231" s="62">
        <v>1126</v>
      </c>
      <c r="Z231" s="62">
        <v>1126</v>
      </c>
      <c r="AA231" s="62">
        <v>1124</v>
      </c>
      <c r="AB231" s="62">
        <v>1240</v>
      </c>
      <c r="AF231" s="62"/>
    </row>
    <row r="232" spans="1:32" x14ac:dyDescent="0.25">
      <c r="A232" s="20" t="s">
        <v>1511</v>
      </c>
      <c r="B232">
        <v>861</v>
      </c>
      <c r="C232">
        <v>853</v>
      </c>
      <c r="D232">
        <v>858</v>
      </c>
      <c r="E232">
        <v>885</v>
      </c>
      <c r="F232">
        <v>844</v>
      </c>
      <c r="G232">
        <v>866</v>
      </c>
      <c r="H232">
        <v>882</v>
      </c>
      <c r="I232">
        <v>870</v>
      </c>
      <c r="J232">
        <v>931</v>
      </c>
      <c r="K232">
        <v>854</v>
      </c>
      <c r="L232">
        <v>848</v>
      </c>
      <c r="M232">
        <v>876</v>
      </c>
      <c r="N232">
        <v>869</v>
      </c>
      <c r="O232">
        <v>885</v>
      </c>
      <c r="P232">
        <v>962</v>
      </c>
      <c r="Q232">
        <v>872</v>
      </c>
      <c r="R232">
        <v>904</v>
      </c>
      <c r="S232">
        <v>930</v>
      </c>
      <c r="T232">
        <v>913</v>
      </c>
      <c r="U232">
        <v>928</v>
      </c>
      <c r="V232">
        <v>941</v>
      </c>
      <c r="W232">
        <v>906</v>
      </c>
      <c r="X232">
        <v>853</v>
      </c>
      <c r="Y232">
        <v>841</v>
      </c>
      <c r="Z232">
        <v>839</v>
      </c>
      <c r="AA232">
        <v>843</v>
      </c>
      <c r="AB232">
        <v>952</v>
      </c>
    </row>
    <row r="233" spans="1:32" x14ac:dyDescent="0.25">
      <c r="A233" s="20" t="s">
        <v>1505</v>
      </c>
      <c r="B233">
        <v>40</v>
      </c>
      <c r="C233">
        <v>40</v>
      </c>
      <c r="D233">
        <v>40</v>
      </c>
      <c r="E233">
        <v>41</v>
      </c>
      <c r="F233">
        <v>42</v>
      </c>
      <c r="G233">
        <v>42</v>
      </c>
      <c r="H233">
        <v>43</v>
      </c>
      <c r="I233">
        <v>44</v>
      </c>
      <c r="J233">
        <v>44</v>
      </c>
      <c r="K233">
        <v>44</v>
      </c>
      <c r="L233">
        <v>47</v>
      </c>
      <c r="M233">
        <v>48</v>
      </c>
      <c r="N233">
        <v>54</v>
      </c>
      <c r="O233">
        <v>58</v>
      </c>
      <c r="P233">
        <v>64</v>
      </c>
      <c r="Q233">
        <v>68</v>
      </c>
      <c r="R233">
        <v>68</v>
      </c>
      <c r="S233">
        <v>70</v>
      </c>
      <c r="T233">
        <v>70</v>
      </c>
      <c r="U233">
        <v>69</v>
      </c>
      <c r="V233">
        <v>74</v>
      </c>
      <c r="W233">
        <v>71</v>
      </c>
      <c r="X233">
        <v>72</v>
      </c>
      <c r="Y233">
        <v>77</v>
      </c>
      <c r="Z233">
        <v>78</v>
      </c>
      <c r="AA233">
        <v>78</v>
      </c>
      <c r="AB233">
        <v>62</v>
      </c>
    </row>
    <row r="234" spans="1:32" x14ac:dyDescent="0.25">
      <c r="A234" s="20" t="s">
        <v>1501</v>
      </c>
      <c r="B234">
        <v>47</v>
      </c>
      <c r="C234">
        <v>48</v>
      </c>
      <c r="D234">
        <v>48</v>
      </c>
      <c r="E234">
        <v>47</v>
      </c>
      <c r="F234">
        <v>50</v>
      </c>
      <c r="G234">
        <v>51</v>
      </c>
      <c r="H234">
        <v>51</v>
      </c>
      <c r="I234">
        <v>51</v>
      </c>
      <c r="J234">
        <v>52</v>
      </c>
      <c r="K234">
        <v>54</v>
      </c>
      <c r="L234">
        <v>55</v>
      </c>
      <c r="M234">
        <v>55</v>
      </c>
      <c r="N234">
        <v>56</v>
      </c>
      <c r="O234">
        <v>57</v>
      </c>
      <c r="P234">
        <v>54</v>
      </c>
      <c r="Q234">
        <v>55</v>
      </c>
      <c r="R234">
        <v>58</v>
      </c>
      <c r="S234">
        <v>58</v>
      </c>
      <c r="T234">
        <v>58</v>
      </c>
      <c r="U234">
        <v>57</v>
      </c>
      <c r="V234">
        <v>58</v>
      </c>
      <c r="W234">
        <v>58</v>
      </c>
      <c r="X234">
        <v>59</v>
      </c>
      <c r="Y234">
        <v>59</v>
      </c>
      <c r="Z234">
        <v>59</v>
      </c>
      <c r="AA234">
        <v>59</v>
      </c>
      <c r="AB234">
        <v>61</v>
      </c>
    </row>
    <row r="235" spans="1:32" x14ac:dyDescent="0.25">
      <c r="A235" s="30" t="s">
        <v>1508</v>
      </c>
      <c r="B235">
        <v>138</v>
      </c>
      <c r="C235">
        <v>145</v>
      </c>
      <c r="D235">
        <v>155</v>
      </c>
      <c r="E235">
        <v>161</v>
      </c>
      <c r="F235">
        <v>167</v>
      </c>
      <c r="G235">
        <v>172</v>
      </c>
      <c r="H235">
        <v>175</v>
      </c>
      <c r="I235">
        <v>178</v>
      </c>
      <c r="J235">
        <v>178</v>
      </c>
      <c r="K235">
        <v>169</v>
      </c>
      <c r="L235">
        <v>165</v>
      </c>
      <c r="M235">
        <v>154</v>
      </c>
      <c r="N235">
        <v>146</v>
      </c>
      <c r="O235">
        <v>138</v>
      </c>
      <c r="P235">
        <v>129</v>
      </c>
      <c r="Q235">
        <v>120</v>
      </c>
      <c r="R235">
        <v>112</v>
      </c>
      <c r="S235">
        <v>97</v>
      </c>
      <c r="T235">
        <v>89</v>
      </c>
      <c r="U235">
        <v>84</v>
      </c>
      <c r="V235">
        <v>81</v>
      </c>
      <c r="W235">
        <v>77</v>
      </c>
      <c r="X235">
        <v>68</v>
      </c>
      <c r="Y235">
        <v>62</v>
      </c>
      <c r="Z235">
        <v>56</v>
      </c>
      <c r="AA235">
        <v>51</v>
      </c>
      <c r="AB235">
        <v>62</v>
      </c>
    </row>
    <row r="236" spans="1:32" x14ac:dyDescent="0.25">
      <c r="A236" s="20" t="s">
        <v>1512</v>
      </c>
      <c r="B236">
        <v>41</v>
      </c>
      <c r="C236">
        <v>41</v>
      </c>
      <c r="D236">
        <v>42</v>
      </c>
      <c r="E236">
        <v>42</v>
      </c>
      <c r="F236">
        <v>45</v>
      </c>
      <c r="G236">
        <v>45</v>
      </c>
      <c r="H236">
        <v>47</v>
      </c>
      <c r="I236">
        <v>48</v>
      </c>
      <c r="J236">
        <v>48</v>
      </c>
      <c r="K236">
        <v>46</v>
      </c>
      <c r="L236">
        <v>45</v>
      </c>
      <c r="M236">
        <v>36</v>
      </c>
      <c r="N236">
        <v>39</v>
      </c>
      <c r="O236">
        <v>37</v>
      </c>
      <c r="P236">
        <v>37</v>
      </c>
      <c r="Q236">
        <v>38</v>
      </c>
      <c r="R236">
        <v>37</v>
      </c>
      <c r="S236">
        <v>44</v>
      </c>
      <c r="T236">
        <v>38</v>
      </c>
      <c r="U236">
        <v>32</v>
      </c>
      <c r="V236">
        <v>39</v>
      </c>
      <c r="W236">
        <v>37</v>
      </c>
      <c r="X236">
        <v>35</v>
      </c>
      <c r="Y236">
        <v>36</v>
      </c>
      <c r="Z236">
        <v>37</v>
      </c>
      <c r="AA236">
        <v>39</v>
      </c>
      <c r="AB236">
        <v>34</v>
      </c>
    </row>
    <row r="237" spans="1:32" x14ac:dyDescent="0.25">
      <c r="A237" s="20" t="s">
        <v>1503</v>
      </c>
      <c r="B237">
        <v>11</v>
      </c>
      <c r="C237">
        <v>12</v>
      </c>
      <c r="D237">
        <v>12</v>
      </c>
      <c r="E237">
        <v>12</v>
      </c>
      <c r="F237">
        <v>12</v>
      </c>
      <c r="G237">
        <v>13</v>
      </c>
      <c r="H237">
        <v>13</v>
      </c>
      <c r="I237">
        <v>13</v>
      </c>
      <c r="J237">
        <v>13</v>
      </c>
      <c r="K237">
        <v>14</v>
      </c>
      <c r="L237">
        <v>14</v>
      </c>
      <c r="M237">
        <v>14</v>
      </c>
      <c r="N237">
        <v>14</v>
      </c>
      <c r="O237">
        <v>14</v>
      </c>
      <c r="P237">
        <v>15</v>
      </c>
      <c r="Q237">
        <v>15</v>
      </c>
      <c r="R237">
        <v>15</v>
      </c>
      <c r="S237">
        <v>15</v>
      </c>
      <c r="T237">
        <v>15</v>
      </c>
      <c r="U237">
        <v>15</v>
      </c>
      <c r="V237">
        <v>15</v>
      </c>
      <c r="W237">
        <v>16</v>
      </c>
      <c r="X237">
        <v>16</v>
      </c>
      <c r="Y237">
        <v>16</v>
      </c>
      <c r="Z237">
        <v>16</v>
      </c>
      <c r="AA237">
        <v>17</v>
      </c>
      <c r="AB237">
        <v>17</v>
      </c>
    </row>
    <row r="238" spans="1:32" x14ac:dyDescent="0.25">
      <c r="A238" s="20" t="s">
        <v>1513</v>
      </c>
      <c r="B238">
        <v>51</v>
      </c>
      <c r="C238">
        <v>50</v>
      </c>
      <c r="D238">
        <v>44</v>
      </c>
      <c r="E238">
        <v>47</v>
      </c>
      <c r="F238">
        <v>45</v>
      </c>
      <c r="G238">
        <v>57</v>
      </c>
      <c r="H238">
        <v>56</v>
      </c>
      <c r="I238">
        <v>32</v>
      </c>
      <c r="J238">
        <v>17</v>
      </c>
      <c r="K238">
        <v>16</v>
      </c>
      <c r="L238">
        <v>18</v>
      </c>
      <c r="M238">
        <v>15</v>
      </c>
      <c r="N238">
        <v>17</v>
      </c>
      <c r="O238">
        <v>18</v>
      </c>
      <c r="P238">
        <v>12</v>
      </c>
      <c r="Q238">
        <v>24</v>
      </c>
      <c r="R238">
        <v>29</v>
      </c>
      <c r="S238">
        <v>34</v>
      </c>
      <c r="T238">
        <v>8</v>
      </c>
      <c r="U238">
        <v>9</v>
      </c>
      <c r="V238">
        <v>14</v>
      </c>
      <c r="W238">
        <v>34</v>
      </c>
      <c r="X238">
        <v>19</v>
      </c>
      <c r="Y238">
        <v>13</v>
      </c>
      <c r="Z238">
        <v>18</v>
      </c>
      <c r="AA238">
        <v>14</v>
      </c>
      <c r="AB238">
        <v>23</v>
      </c>
    </row>
    <row r="239" spans="1:32" x14ac:dyDescent="0.25">
      <c r="A239" s="30" t="s">
        <v>1514</v>
      </c>
      <c r="B239">
        <v>14</v>
      </c>
      <c r="C239">
        <v>14</v>
      </c>
      <c r="D239">
        <v>13</v>
      </c>
      <c r="E239">
        <v>15</v>
      </c>
      <c r="F239">
        <v>15</v>
      </c>
      <c r="G239">
        <v>15</v>
      </c>
      <c r="H239">
        <v>15</v>
      </c>
      <c r="I239">
        <v>16</v>
      </c>
      <c r="J239">
        <v>16</v>
      </c>
      <c r="K239">
        <v>16</v>
      </c>
      <c r="L239">
        <v>16</v>
      </c>
      <c r="M239">
        <v>16</v>
      </c>
      <c r="N239">
        <v>14</v>
      </c>
      <c r="O239">
        <v>14</v>
      </c>
      <c r="P239">
        <v>14</v>
      </c>
      <c r="Q239">
        <v>14</v>
      </c>
      <c r="R239">
        <v>14</v>
      </c>
      <c r="S239">
        <v>14</v>
      </c>
      <c r="T239">
        <v>14</v>
      </c>
      <c r="U239">
        <v>14</v>
      </c>
      <c r="V239">
        <v>14</v>
      </c>
      <c r="W239">
        <v>14</v>
      </c>
      <c r="X239">
        <v>14</v>
      </c>
      <c r="Y239">
        <v>14</v>
      </c>
      <c r="Z239">
        <v>14</v>
      </c>
      <c r="AA239">
        <v>14</v>
      </c>
      <c r="AB239">
        <v>14</v>
      </c>
    </row>
    <row r="240" spans="1:32" x14ac:dyDescent="0.25">
      <c r="A240" s="20" t="s">
        <v>1507</v>
      </c>
      <c r="B240">
        <v>1</v>
      </c>
      <c r="C240">
        <v>1</v>
      </c>
      <c r="D240">
        <v>1</v>
      </c>
      <c r="E240">
        <v>2</v>
      </c>
      <c r="F240">
        <v>2</v>
      </c>
      <c r="G240">
        <v>3</v>
      </c>
      <c r="H240">
        <v>3</v>
      </c>
      <c r="I240">
        <v>3</v>
      </c>
      <c r="J240">
        <v>4</v>
      </c>
      <c r="K240">
        <v>4</v>
      </c>
      <c r="L240">
        <v>4</v>
      </c>
      <c r="M240">
        <v>5</v>
      </c>
      <c r="N240">
        <v>5</v>
      </c>
      <c r="O240">
        <v>5</v>
      </c>
      <c r="P240">
        <v>6</v>
      </c>
      <c r="Q240">
        <v>6</v>
      </c>
      <c r="R240">
        <v>6</v>
      </c>
      <c r="S240">
        <v>6</v>
      </c>
      <c r="T240">
        <v>6</v>
      </c>
      <c r="U240">
        <v>6</v>
      </c>
      <c r="V240">
        <v>5</v>
      </c>
      <c r="W240">
        <v>6</v>
      </c>
      <c r="X240">
        <v>6</v>
      </c>
      <c r="Y240">
        <v>6</v>
      </c>
      <c r="Z240">
        <v>6</v>
      </c>
      <c r="AA240">
        <v>6</v>
      </c>
      <c r="AB240">
        <v>6</v>
      </c>
    </row>
    <row r="241" spans="1:28" x14ac:dyDescent="0.25">
      <c r="A241" s="20" t="s">
        <v>1480</v>
      </c>
      <c r="B241">
        <v>2</v>
      </c>
      <c r="C241">
        <v>1</v>
      </c>
      <c r="D241">
        <v>1</v>
      </c>
      <c r="E241">
        <v>1</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row>
    <row r="242" spans="1:28" x14ac:dyDescent="0.25">
      <c r="A242" s="20" t="s">
        <v>1515</v>
      </c>
      <c r="B242">
        <v>0</v>
      </c>
      <c r="C242">
        <v>0</v>
      </c>
      <c r="D242">
        <v>0</v>
      </c>
      <c r="E242">
        <v>0</v>
      </c>
      <c r="F242">
        <v>0</v>
      </c>
      <c r="G242">
        <v>0</v>
      </c>
      <c r="H242">
        <v>0</v>
      </c>
      <c r="I242">
        <v>0</v>
      </c>
      <c r="J242">
        <v>0</v>
      </c>
      <c r="K242">
        <v>0</v>
      </c>
      <c r="L242">
        <v>0</v>
      </c>
      <c r="M242">
        <v>0</v>
      </c>
      <c r="N242">
        <v>0</v>
      </c>
      <c r="O242">
        <v>0</v>
      </c>
      <c r="P242">
        <v>0</v>
      </c>
      <c r="Q242">
        <v>0</v>
      </c>
      <c r="R242">
        <v>1</v>
      </c>
      <c r="S242">
        <v>1</v>
      </c>
      <c r="T242">
        <v>1</v>
      </c>
      <c r="U242">
        <v>0</v>
      </c>
      <c r="V242">
        <v>0</v>
      </c>
      <c r="W242">
        <v>1</v>
      </c>
      <c r="X242">
        <v>1</v>
      </c>
      <c r="Y242">
        <v>1</v>
      </c>
      <c r="Z242">
        <v>1</v>
      </c>
      <c r="AA242">
        <v>1</v>
      </c>
      <c r="AB242">
        <v>1</v>
      </c>
    </row>
    <row r="243" spans="1:28" x14ac:dyDescent="0.25">
      <c r="A243" s="20" t="s">
        <v>1509</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row>
    <row r="244" spans="1:28" x14ac:dyDescent="0.25">
      <c r="A244" s="30" t="s">
        <v>1497</v>
      </c>
      <c r="B244">
        <v>3</v>
      </c>
      <c r="C244">
        <v>3</v>
      </c>
      <c r="D244">
        <v>3</v>
      </c>
      <c r="E244">
        <v>3</v>
      </c>
      <c r="F244">
        <v>3</v>
      </c>
      <c r="G244">
        <v>3</v>
      </c>
      <c r="H244">
        <v>3</v>
      </c>
      <c r="I244">
        <v>3</v>
      </c>
      <c r="J244">
        <v>3</v>
      </c>
      <c r="K244">
        <v>3</v>
      </c>
      <c r="L244">
        <v>3</v>
      </c>
      <c r="M244">
        <v>3</v>
      </c>
      <c r="N244">
        <v>3</v>
      </c>
      <c r="O244">
        <v>3</v>
      </c>
      <c r="P244">
        <v>3</v>
      </c>
      <c r="Q244">
        <v>3</v>
      </c>
      <c r="R244">
        <v>3</v>
      </c>
      <c r="S244">
        <v>3</v>
      </c>
      <c r="T244">
        <v>3</v>
      </c>
      <c r="U244">
        <v>3</v>
      </c>
      <c r="V244">
        <v>3</v>
      </c>
      <c r="W244">
        <v>3</v>
      </c>
      <c r="X244">
        <v>3</v>
      </c>
      <c r="Y244">
        <v>3</v>
      </c>
      <c r="Z244">
        <v>3</v>
      </c>
      <c r="AA244">
        <v>3</v>
      </c>
      <c r="AB244">
        <v>3</v>
      </c>
    </row>
    <row r="245" spans="1:28" x14ac:dyDescent="0.25">
      <c r="A245" s="331" t="s">
        <v>1516</v>
      </c>
      <c r="B245" t="s">
        <v>1538</v>
      </c>
      <c r="C245" t="s">
        <v>1538</v>
      </c>
      <c r="D245" t="s">
        <v>1538</v>
      </c>
      <c r="E245" t="s">
        <v>1538</v>
      </c>
      <c r="F245" t="s">
        <v>1538</v>
      </c>
      <c r="G245" t="s">
        <v>1538</v>
      </c>
      <c r="H245" t="s">
        <v>1538</v>
      </c>
      <c r="I245" t="s">
        <v>1538</v>
      </c>
      <c r="J245" t="s">
        <v>1538</v>
      </c>
      <c r="K245" t="s">
        <v>1538</v>
      </c>
      <c r="L245" t="s">
        <v>1538</v>
      </c>
      <c r="M245" t="s">
        <v>1538</v>
      </c>
      <c r="N245" t="s">
        <v>1538</v>
      </c>
      <c r="O245" t="s">
        <v>1538</v>
      </c>
      <c r="P245" t="s">
        <v>1538</v>
      </c>
      <c r="Q245" t="s">
        <v>1538</v>
      </c>
      <c r="R245" t="s">
        <v>1538</v>
      </c>
      <c r="S245" t="s">
        <v>1538</v>
      </c>
      <c r="T245" t="s">
        <v>1538</v>
      </c>
      <c r="U245" t="s">
        <v>1538</v>
      </c>
      <c r="V245" t="s">
        <v>1538</v>
      </c>
      <c r="W245" t="s">
        <v>1538</v>
      </c>
      <c r="X245" t="s">
        <v>1538</v>
      </c>
      <c r="Y245" t="s">
        <v>1538</v>
      </c>
      <c r="Z245" t="s">
        <v>1538</v>
      </c>
      <c r="AA245" t="s">
        <v>1538</v>
      </c>
      <c r="AB245" t="s">
        <v>1538</v>
      </c>
    </row>
    <row r="246" spans="1:28" x14ac:dyDescent="0.25">
      <c r="A246" s="30" t="s">
        <v>1517</v>
      </c>
      <c r="B246" t="s">
        <v>1538</v>
      </c>
      <c r="C246" t="s">
        <v>1538</v>
      </c>
      <c r="D246" t="s">
        <v>1538</v>
      </c>
      <c r="E246" t="s">
        <v>1538</v>
      </c>
      <c r="F246" t="s">
        <v>1538</v>
      </c>
      <c r="G246" t="s">
        <v>1538</v>
      </c>
      <c r="H246" t="s">
        <v>1538</v>
      </c>
      <c r="I246" t="s">
        <v>1538</v>
      </c>
      <c r="J246" t="s">
        <v>1538</v>
      </c>
      <c r="K246" t="s">
        <v>1538</v>
      </c>
      <c r="L246" t="s">
        <v>1538</v>
      </c>
      <c r="M246" t="s">
        <v>1538</v>
      </c>
      <c r="N246" t="s">
        <v>1538</v>
      </c>
      <c r="O246" t="s">
        <v>1538</v>
      </c>
      <c r="P246" t="s">
        <v>1538</v>
      </c>
      <c r="Q246" t="s">
        <v>1538</v>
      </c>
      <c r="R246" t="s">
        <v>1538</v>
      </c>
      <c r="S246" t="s">
        <v>1538</v>
      </c>
      <c r="T246" t="s">
        <v>1538</v>
      </c>
      <c r="U246" t="s">
        <v>1538</v>
      </c>
      <c r="V246" t="s">
        <v>1538</v>
      </c>
      <c r="W246" t="s">
        <v>1538</v>
      </c>
      <c r="X246" t="s">
        <v>1538</v>
      </c>
      <c r="Y246" t="s">
        <v>1538</v>
      </c>
      <c r="Z246" t="s">
        <v>1538</v>
      </c>
      <c r="AA246" t="s">
        <v>1538</v>
      </c>
      <c r="AB246" t="s">
        <v>1538</v>
      </c>
    </row>
    <row r="247" spans="1:28" x14ac:dyDescent="0.25">
      <c r="A247" s="20" t="s">
        <v>1518</v>
      </c>
      <c r="B247">
        <v>3</v>
      </c>
      <c r="C247">
        <v>3</v>
      </c>
      <c r="D247">
        <v>3</v>
      </c>
      <c r="E247">
        <v>3</v>
      </c>
      <c r="F247">
        <v>3</v>
      </c>
      <c r="G247">
        <v>3</v>
      </c>
      <c r="H247">
        <v>3</v>
      </c>
      <c r="I247">
        <v>3</v>
      </c>
      <c r="J247">
        <v>3</v>
      </c>
      <c r="K247">
        <v>3</v>
      </c>
      <c r="L247">
        <v>2</v>
      </c>
      <c r="M247">
        <v>2</v>
      </c>
      <c r="N247">
        <v>2</v>
      </c>
      <c r="O247">
        <v>1</v>
      </c>
      <c r="P247">
        <v>1</v>
      </c>
      <c r="Q247">
        <v>1</v>
      </c>
      <c r="R247">
        <v>1</v>
      </c>
      <c r="S247">
        <v>1</v>
      </c>
      <c r="T247">
        <v>1</v>
      </c>
      <c r="U247">
        <v>0</v>
      </c>
      <c r="V247">
        <v>1</v>
      </c>
      <c r="W247">
        <v>1</v>
      </c>
      <c r="X247">
        <v>0</v>
      </c>
      <c r="Y247">
        <v>0</v>
      </c>
      <c r="Z247">
        <v>0</v>
      </c>
      <c r="AA247">
        <v>0</v>
      </c>
      <c r="AB247" t="s">
        <v>1537</v>
      </c>
    </row>
    <row r="248" spans="1:28" x14ac:dyDescent="0.25">
      <c r="A248" s="20" t="s">
        <v>1515</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t="s">
        <v>1538</v>
      </c>
    </row>
    <row r="249" spans="1:28" x14ac:dyDescent="0.25">
      <c r="A249" s="20" t="s">
        <v>1495</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t="s">
        <v>1537</v>
      </c>
    </row>
    <row r="250" spans="1:28" x14ac:dyDescent="0.25">
      <c r="A250" s="331" t="s">
        <v>1519</v>
      </c>
      <c r="B250" t="s">
        <v>1538</v>
      </c>
      <c r="C250" t="s">
        <v>1538</v>
      </c>
      <c r="D250" t="s">
        <v>1538</v>
      </c>
      <c r="E250" t="s">
        <v>1538</v>
      </c>
      <c r="F250" t="s">
        <v>1538</v>
      </c>
      <c r="G250" t="s">
        <v>1538</v>
      </c>
      <c r="H250" t="s">
        <v>1538</v>
      </c>
      <c r="I250" t="s">
        <v>1538</v>
      </c>
      <c r="J250" t="s">
        <v>1538</v>
      </c>
      <c r="K250" t="s">
        <v>1538</v>
      </c>
      <c r="L250" t="s">
        <v>1538</v>
      </c>
      <c r="M250" t="s">
        <v>1538</v>
      </c>
      <c r="N250" t="s">
        <v>1538</v>
      </c>
      <c r="O250" t="s">
        <v>1538</v>
      </c>
      <c r="P250" t="s">
        <v>1538</v>
      </c>
      <c r="Q250" t="s">
        <v>1538</v>
      </c>
      <c r="R250" t="s">
        <v>1538</v>
      </c>
      <c r="S250" t="s">
        <v>1538</v>
      </c>
      <c r="T250" t="s">
        <v>1538</v>
      </c>
      <c r="U250" t="s">
        <v>1538</v>
      </c>
      <c r="V250" t="s">
        <v>1538</v>
      </c>
      <c r="W250" t="s">
        <v>1538</v>
      </c>
      <c r="X250" t="s">
        <v>1538</v>
      </c>
      <c r="Y250" t="s">
        <v>1538</v>
      </c>
      <c r="Z250" t="s">
        <v>1538</v>
      </c>
      <c r="AA250" t="s">
        <v>1538</v>
      </c>
      <c r="AB250" t="s">
        <v>1538</v>
      </c>
    </row>
    <row r="251" spans="1:28" x14ac:dyDescent="0.25">
      <c r="A251" s="20" t="s">
        <v>1515</v>
      </c>
      <c r="B251" t="s">
        <v>1538</v>
      </c>
      <c r="C251" t="s">
        <v>1538</v>
      </c>
      <c r="D251" t="s">
        <v>1538</v>
      </c>
      <c r="E251" t="s">
        <v>1538</v>
      </c>
      <c r="F251" t="s">
        <v>1538</v>
      </c>
      <c r="G251" t="s">
        <v>1538</v>
      </c>
      <c r="H251" t="s">
        <v>1538</v>
      </c>
      <c r="I251" t="s">
        <v>1538</v>
      </c>
      <c r="J251" t="s">
        <v>1538</v>
      </c>
      <c r="K251" t="s">
        <v>1538</v>
      </c>
      <c r="L251" t="s">
        <v>1538</v>
      </c>
      <c r="M251" t="s">
        <v>1538</v>
      </c>
      <c r="N251" t="s">
        <v>1538</v>
      </c>
      <c r="O251" t="s">
        <v>1538</v>
      </c>
      <c r="P251" t="s">
        <v>1538</v>
      </c>
      <c r="Q251" t="s">
        <v>1538</v>
      </c>
      <c r="R251" t="s">
        <v>1538</v>
      </c>
      <c r="S251" t="s">
        <v>1538</v>
      </c>
      <c r="T251" t="s">
        <v>1538</v>
      </c>
      <c r="U251" t="s">
        <v>1538</v>
      </c>
      <c r="V251" t="s">
        <v>1538</v>
      </c>
      <c r="W251" t="s">
        <v>1538</v>
      </c>
      <c r="X251" t="s">
        <v>1538</v>
      </c>
      <c r="Y251" t="s">
        <v>1538</v>
      </c>
      <c r="Z251" t="s">
        <v>1538</v>
      </c>
      <c r="AA251" t="s">
        <v>1538</v>
      </c>
      <c r="AB251" t="s">
        <v>1538</v>
      </c>
    </row>
    <row r="252" spans="1:28" x14ac:dyDescent="0.25">
      <c r="A252" s="20" t="s">
        <v>1486</v>
      </c>
      <c r="B252" t="s">
        <v>1538</v>
      </c>
      <c r="C252" t="s">
        <v>1538</v>
      </c>
      <c r="D252" t="s">
        <v>1538</v>
      </c>
      <c r="E252" t="s">
        <v>1538</v>
      </c>
      <c r="F252" t="s">
        <v>1538</v>
      </c>
      <c r="G252" t="s">
        <v>1538</v>
      </c>
      <c r="H252" t="s">
        <v>1538</v>
      </c>
      <c r="I252" t="s">
        <v>1538</v>
      </c>
      <c r="J252" t="s">
        <v>1538</v>
      </c>
      <c r="K252" t="s">
        <v>1538</v>
      </c>
      <c r="L252" t="s">
        <v>1538</v>
      </c>
      <c r="M252" t="s">
        <v>1538</v>
      </c>
      <c r="N252" t="s">
        <v>1538</v>
      </c>
      <c r="O252" t="s">
        <v>1538</v>
      </c>
      <c r="P252" t="s">
        <v>1538</v>
      </c>
      <c r="Q252" t="s">
        <v>1538</v>
      </c>
      <c r="R252" t="s">
        <v>1538</v>
      </c>
      <c r="S252" t="s">
        <v>1538</v>
      </c>
      <c r="T252" t="s">
        <v>1538</v>
      </c>
      <c r="U252" t="s">
        <v>1538</v>
      </c>
      <c r="V252" t="s">
        <v>1538</v>
      </c>
      <c r="W252" t="s">
        <v>1538</v>
      </c>
      <c r="X252" t="s">
        <v>1538</v>
      </c>
      <c r="Y252" t="s">
        <v>1538</v>
      </c>
      <c r="Z252" t="s">
        <v>1538</v>
      </c>
      <c r="AA252" t="s">
        <v>1538</v>
      </c>
      <c r="AB252" t="s">
        <v>1537</v>
      </c>
    </row>
    <row r="253" spans="1:28" x14ac:dyDescent="0.25">
      <c r="A253" s="20" t="s">
        <v>1520</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t="s">
        <v>1537</v>
      </c>
    </row>
    <row r="254" spans="1:28" x14ac:dyDescent="0.25">
      <c r="A254" s="30" t="s">
        <v>1521</v>
      </c>
      <c r="B254">
        <v>1</v>
      </c>
      <c r="C254">
        <v>1</v>
      </c>
      <c r="D254">
        <v>1</v>
      </c>
      <c r="E254">
        <v>1</v>
      </c>
      <c r="F254">
        <v>1</v>
      </c>
      <c r="G254">
        <v>1</v>
      </c>
      <c r="H254">
        <v>1</v>
      </c>
      <c r="I254">
        <v>1</v>
      </c>
      <c r="J254">
        <v>1</v>
      </c>
      <c r="K254">
        <v>1</v>
      </c>
      <c r="L254">
        <v>1</v>
      </c>
      <c r="M254">
        <v>1</v>
      </c>
      <c r="N254">
        <v>1</v>
      </c>
      <c r="O254">
        <v>1</v>
      </c>
      <c r="P254">
        <v>1</v>
      </c>
      <c r="Q254">
        <v>1</v>
      </c>
      <c r="R254">
        <v>0</v>
      </c>
      <c r="S254">
        <v>0</v>
      </c>
      <c r="T254">
        <v>0</v>
      </c>
      <c r="U254">
        <v>0</v>
      </c>
      <c r="V254">
        <v>0</v>
      </c>
      <c r="W254">
        <v>0</v>
      </c>
      <c r="X254">
        <v>0</v>
      </c>
      <c r="Y254">
        <v>0</v>
      </c>
      <c r="Z254">
        <v>0</v>
      </c>
      <c r="AA254">
        <v>0</v>
      </c>
      <c r="AB254" t="s">
        <v>1537</v>
      </c>
    </row>
    <row r="255" spans="1:28" x14ac:dyDescent="0.25">
      <c r="A255" s="20" t="s">
        <v>1522</v>
      </c>
      <c r="B255">
        <v>1</v>
      </c>
      <c r="C255">
        <v>1</v>
      </c>
      <c r="D255">
        <v>1</v>
      </c>
      <c r="E255">
        <v>1</v>
      </c>
      <c r="F255">
        <v>1</v>
      </c>
      <c r="G255">
        <v>1</v>
      </c>
      <c r="H255">
        <v>1</v>
      </c>
      <c r="I255">
        <v>1</v>
      </c>
      <c r="J255">
        <v>1</v>
      </c>
      <c r="K255">
        <v>1</v>
      </c>
      <c r="L255">
        <v>1</v>
      </c>
      <c r="M255">
        <v>1</v>
      </c>
      <c r="N255">
        <v>0</v>
      </c>
      <c r="O255">
        <v>0</v>
      </c>
      <c r="P255">
        <v>0</v>
      </c>
      <c r="Q255">
        <v>0</v>
      </c>
      <c r="R255">
        <v>0</v>
      </c>
      <c r="S255">
        <v>0</v>
      </c>
      <c r="T255">
        <v>0</v>
      </c>
      <c r="U255">
        <v>0</v>
      </c>
      <c r="V255">
        <v>0</v>
      </c>
      <c r="W255">
        <v>0</v>
      </c>
      <c r="X255">
        <v>0</v>
      </c>
      <c r="Y255">
        <v>0</v>
      </c>
      <c r="Z255">
        <v>0</v>
      </c>
      <c r="AA255">
        <v>0</v>
      </c>
      <c r="AB255" t="s">
        <v>1537</v>
      </c>
    </row>
    <row r="256" spans="1:28" x14ac:dyDescent="0.25">
      <c r="A256" s="20" t="s">
        <v>1495</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t="s">
        <v>1537</v>
      </c>
    </row>
    <row r="257" spans="1:28" x14ac:dyDescent="0.25">
      <c r="A257" s="20" t="s">
        <v>1515</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t="s">
        <v>1537</v>
      </c>
    </row>
    <row r="258" spans="1:28" x14ac:dyDescent="0.25">
      <c r="A258" s="30" t="s">
        <v>1523</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t="s">
        <v>1537</v>
      </c>
    </row>
    <row r="259" spans="1:28" x14ac:dyDescent="0.25">
      <c r="A259" s="21" t="s">
        <v>1515</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t="s">
        <v>1537</v>
      </c>
    </row>
    <row r="261" spans="1:28" x14ac:dyDescent="0.25">
      <c r="A261" s="55" t="s">
        <v>1957</v>
      </c>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8" x14ac:dyDescent="0.25">
      <c r="A262" s="29" t="s">
        <v>1462</v>
      </c>
      <c r="B262" s="29"/>
      <c r="C262" s="29"/>
      <c r="D262" s="29"/>
      <c r="E262" s="29"/>
      <c r="F262" s="29"/>
      <c r="G262" s="29"/>
      <c r="H262" s="29"/>
      <c r="I262" s="29"/>
      <c r="J262" s="29"/>
    </row>
    <row r="263" spans="1:28" x14ac:dyDescent="0.25">
      <c r="A263" s="22" t="s">
        <v>1463</v>
      </c>
      <c r="B263">
        <v>1990</v>
      </c>
      <c r="C263">
        <v>1991</v>
      </c>
      <c r="D263">
        <v>1992</v>
      </c>
      <c r="E263">
        <v>1993</v>
      </c>
      <c r="F263">
        <v>1994</v>
      </c>
      <c r="G263">
        <v>1995</v>
      </c>
      <c r="H263">
        <v>1996</v>
      </c>
      <c r="I263">
        <v>1997</v>
      </c>
      <c r="J263">
        <v>1998</v>
      </c>
      <c r="K263">
        <v>1999</v>
      </c>
      <c r="L263">
        <v>2000</v>
      </c>
      <c r="M263">
        <v>2001</v>
      </c>
      <c r="N263">
        <v>2002</v>
      </c>
      <c r="O263">
        <v>2003</v>
      </c>
      <c r="P263">
        <v>2004</v>
      </c>
      <c r="Q263">
        <v>2005</v>
      </c>
      <c r="R263">
        <v>2006</v>
      </c>
      <c r="S263">
        <v>2007</v>
      </c>
      <c r="T263">
        <v>2008</v>
      </c>
      <c r="U263">
        <v>2009</v>
      </c>
      <c r="V263">
        <v>2010</v>
      </c>
      <c r="W263">
        <v>2011</v>
      </c>
      <c r="X263">
        <v>2012</v>
      </c>
      <c r="Y263">
        <v>2013</v>
      </c>
      <c r="Z263">
        <v>2014</v>
      </c>
      <c r="AA263">
        <v>2015</v>
      </c>
      <c r="AB263">
        <v>2016</v>
      </c>
    </row>
    <row r="264" spans="1:28" x14ac:dyDescent="0.25">
      <c r="A264" s="99" t="s">
        <v>1464</v>
      </c>
      <c r="B264">
        <v>5123</v>
      </c>
      <c r="C264">
        <v>5073.5</v>
      </c>
      <c r="D264">
        <v>5178.6000000000004</v>
      </c>
      <c r="E264">
        <v>5292.6</v>
      </c>
      <c r="F264">
        <v>5385.9</v>
      </c>
      <c r="G264">
        <v>5450.3</v>
      </c>
      <c r="H264">
        <v>5636.3</v>
      </c>
      <c r="I264">
        <v>5713.4</v>
      </c>
      <c r="J264">
        <v>5753.8</v>
      </c>
      <c r="K264">
        <v>5834.2</v>
      </c>
      <c r="L264">
        <v>6001.4</v>
      </c>
      <c r="M264">
        <v>5902.7</v>
      </c>
      <c r="N264">
        <v>5943.9</v>
      </c>
      <c r="O264">
        <v>5990.7</v>
      </c>
      <c r="P264">
        <v>6105.4</v>
      </c>
      <c r="Q264">
        <v>6131.8</v>
      </c>
      <c r="R264">
        <v>6051.5</v>
      </c>
      <c r="S264">
        <v>6130.6</v>
      </c>
      <c r="T264">
        <v>5933</v>
      </c>
      <c r="U264">
        <v>5495.7</v>
      </c>
      <c r="V264">
        <v>5699.9</v>
      </c>
      <c r="W264">
        <v>5569.5</v>
      </c>
      <c r="X264">
        <v>5362.1</v>
      </c>
      <c r="Y264">
        <v>5514</v>
      </c>
      <c r="Z264">
        <v>5565.5</v>
      </c>
      <c r="AA264">
        <v>5411.4</v>
      </c>
      <c r="AB264">
        <v>5310.9</v>
      </c>
    </row>
    <row r="265" spans="1:28" x14ac:dyDescent="0.25">
      <c r="A265" s="20" t="s">
        <v>1465</v>
      </c>
      <c r="B265">
        <v>4740.3</v>
      </c>
      <c r="C265">
        <v>4690.1000000000004</v>
      </c>
      <c r="D265">
        <v>4793.1000000000004</v>
      </c>
      <c r="E265">
        <v>4915.1000000000004</v>
      </c>
      <c r="F265">
        <v>4990</v>
      </c>
      <c r="G265">
        <v>5041</v>
      </c>
      <c r="H265">
        <v>5232.3999999999996</v>
      </c>
      <c r="I265">
        <v>5296.7</v>
      </c>
      <c r="J265">
        <v>5333.5</v>
      </c>
      <c r="K265">
        <v>5400.8</v>
      </c>
      <c r="L265">
        <v>5593.7</v>
      </c>
      <c r="M265">
        <v>5525</v>
      </c>
      <c r="N265">
        <v>5560.6</v>
      </c>
      <c r="O265">
        <v>5619.8</v>
      </c>
      <c r="P265">
        <v>5709.1</v>
      </c>
      <c r="Q265">
        <v>5746.9</v>
      </c>
      <c r="R265">
        <v>5660.3</v>
      </c>
      <c r="S265">
        <v>5753</v>
      </c>
      <c r="T265">
        <v>5566.6</v>
      </c>
      <c r="U265">
        <v>5193.2</v>
      </c>
      <c r="V265">
        <v>5359.4</v>
      </c>
      <c r="W265">
        <v>5227.1000000000004</v>
      </c>
      <c r="X265">
        <v>5024.6000000000004</v>
      </c>
      <c r="Y265">
        <v>5156.5</v>
      </c>
      <c r="Z265">
        <v>5202.3</v>
      </c>
      <c r="AA265">
        <v>5049.8</v>
      </c>
      <c r="AB265">
        <v>4966</v>
      </c>
    </row>
    <row r="266" spans="1:28" x14ac:dyDescent="0.25">
      <c r="A266" s="330" t="s">
        <v>1466</v>
      </c>
      <c r="B266">
        <v>1820.8</v>
      </c>
      <c r="C266">
        <v>1818.2</v>
      </c>
      <c r="D266">
        <v>1831.5</v>
      </c>
      <c r="E266">
        <v>1906.9</v>
      </c>
      <c r="F266">
        <v>1931.2</v>
      </c>
      <c r="G266">
        <v>1947.9</v>
      </c>
      <c r="H266">
        <v>2021</v>
      </c>
      <c r="I266">
        <v>2088.4</v>
      </c>
      <c r="J266">
        <v>2177.4</v>
      </c>
      <c r="K266">
        <v>2190.5</v>
      </c>
      <c r="L266">
        <v>2296.9</v>
      </c>
      <c r="M266">
        <v>2257.9</v>
      </c>
      <c r="N266">
        <v>2272.6999999999998</v>
      </c>
      <c r="O266">
        <v>2304.1999999999998</v>
      </c>
      <c r="P266">
        <v>2335.9</v>
      </c>
      <c r="Q266">
        <v>2400.9</v>
      </c>
      <c r="R266">
        <v>2345.3000000000002</v>
      </c>
      <c r="S266">
        <v>2411.9</v>
      </c>
      <c r="T266">
        <v>2360.1</v>
      </c>
      <c r="U266">
        <v>2145.6999999999998</v>
      </c>
      <c r="V266">
        <v>2258.4</v>
      </c>
      <c r="W266">
        <v>2157.6999999999998</v>
      </c>
      <c r="X266">
        <v>2022.2</v>
      </c>
      <c r="Y266">
        <v>2038.1</v>
      </c>
      <c r="Z266">
        <v>2038</v>
      </c>
      <c r="AA266">
        <v>1900.7</v>
      </c>
      <c r="AB266">
        <v>1809.3</v>
      </c>
    </row>
    <row r="267" spans="1:28" x14ac:dyDescent="0.25">
      <c r="A267" s="30" t="s">
        <v>1467</v>
      </c>
      <c r="B267">
        <v>1493.8</v>
      </c>
      <c r="C267">
        <v>1447.6</v>
      </c>
      <c r="D267">
        <v>1496.9</v>
      </c>
      <c r="E267">
        <v>1532.4</v>
      </c>
      <c r="F267">
        <v>1577</v>
      </c>
      <c r="G267">
        <v>1609.9</v>
      </c>
      <c r="H267">
        <v>1654.3</v>
      </c>
      <c r="I267">
        <v>1670.1</v>
      </c>
      <c r="J267">
        <v>1706.6</v>
      </c>
      <c r="K267">
        <v>1761.1</v>
      </c>
      <c r="L267">
        <v>1805.5</v>
      </c>
      <c r="M267">
        <v>1789.4</v>
      </c>
      <c r="N267">
        <v>1830.6</v>
      </c>
      <c r="O267">
        <v>1822.3</v>
      </c>
      <c r="P267">
        <v>1867.1</v>
      </c>
      <c r="Q267">
        <v>1887</v>
      </c>
      <c r="R267">
        <v>1882.6</v>
      </c>
      <c r="S267">
        <v>1886.1</v>
      </c>
      <c r="T267">
        <v>1791.8</v>
      </c>
      <c r="U267">
        <v>1717</v>
      </c>
      <c r="V267">
        <v>1728.3</v>
      </c>
      <c r="W267">
        <v>1707.6</v>
      </c>
      <c r="X267">
        <v>1696.8</v>
      </c>
      <c r="Y267">
        <v>1713</v>
      </c>
      <c r="Z267">
        <v>1742.8</v>
      </c>
      <c r="AA267">
        <v>1736.4</v>
      </c>
      <c r="AB267">
        <v>1782.6</v>
      </c>
    </row>
    <row r="268" spans="1:28" x14ac:dyDescent="0.25">
      <c r="A268" s="30" t="s">
        <v>1468</v>
      </c>
      <c r="B268">
        <v>842.5</v>
      </c>
      <c r="C268">
        <v>822.5</v>
      </c>
      <c r="D268">
        <v>857.4</v>
      </c>
      <c r="E268">
        <v>855.7</v>
      </c>
      <c r="F268">
        <v>864.8</v>
      </c>
      <c r="G268">
        <v>870.5</v>
      </c>
      <c r="H268">
        <v>907.4</v>
      </c>
      <c r="I268">
        <v>906.8</v>
      </c>
      <c r="J268">
        <v>869.1</v>
      </c>
      <c r="K268">
        <v>845.9</v>
      </c>
      <c r="L268">
        <v>854.1</v>
      </c>
      <c r="M268">
        <v>843</v>
      </c>
      <c r="N268">
        <v>829.8</v>
      </c>
      <c r="O268">
        <v>829.6</v>
      </c>
      <c r="P268">
        <v>852.3</v>
      </c>
      <c r="Q268">
        <v>828</v>
      </c>
      <c r="R268">
        <v>852.6</v>
      </c>
      <c r="S268">
        <v>847.9</v>
      </c>
      <c r="T268">
        <v>802.8</v>
      </c>
      <c r="U268">
        <v>727.7</v>
      </c>
      <c r="V268">
        <v>775.5</v>
      </c>
      <c r="W268">
        <v>775</v>
      </c>
      <c r="X268">
        <v>782.9</v>
      </c>
      <c r="Y268">
        <v>812.2</v>
      </c>
      <c r="Z268">
        <v>806.1</v>
      </c>
      <c r="AA268">
        <v>805.5</v>
      </c>
      <c r="AB268">
        <v>809.1</v>
      </c>
    </row>
    <row r="269" spans="1:28" x14ac:dyDescent="0.25">
      <c r="A269" s="330" t="s">
        <v>1469</v>
      </c>
      <c r="B269">
        <v>338.3</v>
      </c>
      <c r="C269">
        <v>347.2</v>
      </c>
      <c r="D269">
        <v>353.5</v>
      </c>
      <c r="E269">
        <v>365.8</v>
      </c>
      <c r="F269">
        <v>356.8</v>
      </c>
      <c r="G269">
        <v>352.8</v>
      </c>
      <c r="H269">
        <v>383.1</v>
      </c>
      <c r="I269">
        <v>364.7</v>
      </c>
      <c r="J269">
        <v>331.2</v>
      </c>
      <c r="K269">
        <v>350.6</v>
      </c>
      <c r="L269">
        <v>370.8</v>
      </c>
      <c r="M269">
        <v>362.2</v>
      </c>
      <c r="N269">
        <v>360</v>
      </c>
      <c r="O269">
        <v>378.9</v>
      </c>
      <c r="P269">
        <v>367.4</v>
      </c>
      <c r="Q269">
        <v>357.8</v>
      </c>
      <c r="R269">
        <v>321.3</v>
      </c>
      <c r="S269">
        <v>341.3</v>
      </c>
      <c r="T269">
        <v>347.6</v>
      </c>
      <c r="U269">
        <v>336.3</v>
      </c>
      <c r="V269">
        <v>334.6</v>
      </c>
      <c r="W269">
        <v>325.5</v>
      </c>
      <c r="X269">
        <v>282.5</v>
      </c>
      <c r="Y269">
        <v>329.7</v>
      </c>
      <c r="Z269">
        <v>345.4</v>
      </c>
      <c r="AA269">
        <v>319.60000000000002</v>
      </c>
      <c r="AB269">
        <v>292.5</v>
      </c>
    </row>
    <row r="270" spans="1:28" x14ac:dyDescent="0.25">
      <c r="A270" s="30" t="s">
        <v>1470</v>
      </c>
      <c r="B270">
        <v>217.4</v>
      </c>
      <c r="C270">
        <v>223.3</v>
      </c>
      <c r="D270">
        <v>220.6</v>
      </c>
      <c r="E270">
        <v>220.1</v>
      </c>
      <c r="F270">
        <v>222.4</v>
      </c>
      <c r="G270">
        <v>225.6</v>
      </c>
      <c r="H270">
        <v>234.5</v>
      </c>
      <c r="I270">
        <v>233.6</v>
      </c>
      <c r="J270">
        <v>215.9</v>
      </c>
      <c r="K270">
        <v>218.8</v>
      </c>
      <c r="L270">
        <v>230.9</v>
      </c>
      <c r="M270">
        <v>225</v>
      </c>
      <c r="N270">
        <v>225</v>
      </c>
      <c r="O270">
        <v>235.2</v>
      </c>
      <c r="P270">
        <v>234.2</v>
      </c>
      <c r="Q270">
        <v>223.5</v>
      </c>
      <c r="R270">
        <v>208.6</v>
      </c>
      <c r="S270">
        <v>218.8</v>
      </c>
      <c r="T270">
        <v>223.6</v>
      </c>
      <c r="U270">
        <v>223.5</v>
      </c>
      <c r="V270">
        <v>220.1</v>
      </c>
      <c r="W270">
        <v>220.4</v>
      </c>
      <c r="X270">
        <v>196.7</v>
      </c>
      <c r="Y270">
        <v>221</v>
      </c>
      <c r="Z270">
        <v>228.7</v>
      </c>
      <c r="AA270">
        <v>246.2</v>
      </c>
      <c r="AB270">
        <v>231.3</v>
      </c>
    </row>
    <row r="271" spans="1:28" x14ac:dyDescent="0.25">
      <c r="A271" s="330" t="s">
        <v>1471</v>
      </c>
      <c r="B271">
        <v>27.6</v>
      </c>
      <c r="C271">
        <v>31.4</v>
      </c>
      <c r="D271">
        <v>33.1</v>
      </c>
      <c r="E271">
        <v>34.200000000000003</v>
      </c>
      <c r="F271">
        <v>37.799999999999997</v>
      </c>
      <c r="G271">
        <v>34.299999999999997</v>
      </c>
      <c r="H271">
        <v>32.1</v>
      </c>
      <c r="I271">
        <v>33</v>
      </c>
      <c r="J271">
        <v>33.200000000000003</v>
      </c>
      <c r="K271">
        <v>34</v>
      </c>
      <c r="L271">
        <v>35.6</v>
      </c>
      <c r="M271">
        <v>47.5</v>
      </c>
      <c r="N271">
        <v>42.5</v>
      </c>
      <c r="O271">
        <v>49.6</v>
      </c>
      <c r="P271">
        <v>52</v>
      </c>
      <c r="Q271">
        <v>49.7</v>
      </c>
      <c r="R271">
        <v>49.9</v>
      </c>
      <c r="S271">
        <v>47.1</v>
      </c>
      <c r="T271">
        <v>40.700000000000003</v>
      </c>
      <c r="U271">
        <v>43.1</v>
      </c>
      <c r="V271">
        <v>42.4</v>
      </c>
      <c r="W271">
        <v>40.9</v>
      </c>
      <c r="X271">
        <v>43.5</v>
      </c>
      <c r="Y271">
        <v>42.5</v>
      </c>
      <c r="Z271">
        <v>41.4</v>
      </c>
      <c r="AA271">
        <v>41.4</v>
      </c>
      <c r="AB271">
        <v>41.4</v>
      </c>
    </row>
    <row r="272" spans="1:28" x14ac:dyDescent="0.25">
      <c r="A272" s="20" t="s">
        <v>1472</v>
      </c>
      <c r="B272">
        <v>117.6</v>
      </c>
      <c r="C272">
        <v>127.7</v>
      </c>
      <c r="D272">
        <v>125.8</v>
      </c>
      <c r="E272">
        <v>116.3</v>
      </c>
      <c r="F272">
        <v>125.5</v>
      </c>
      <c r="G272">
        <v>128.30000000000001</v>
      </c>
      <c r="H272">
        <v>123.8</v>
      </c>
      <c r="I272">
        <v>132.4</v>
      </c>
      <c r="J272">
        <v>149.69999999999999</v>
      </c>
      <c r="K272">
        <v>163</v>
      </c>
      <c r="L272">
        <v>140.30000000000001</v>
      </c>
      <c r="M272">
        <v>131.69999999999999</v>
      </c>
      <c r="N272">
        <v>135.19999999999999</v>
      </c>
      <c r="O272">
        <v>129</v>
      </c>
      <c r="P272">
        <v>147.30000000000001</v>
      </c>
      <c r="Q272">
        <v>138.9</v>
      </c>
      <c r="R272">
        <v>140.30000000000001</v>
      </c>
      <c r="S272">
        <v>122.9</v>
      </c>
      <c r="T272">
        <v>125.4</v>
      </c>
      <c r="U272">
        <v>106.2</v>
      </c>
      <c r="V272">
        <v>114.3</v>
      </c>
      <c r="W272">
        <v>109.8</v>
      </c>
      <c r="X272">
        <v>106.7</v>
      </c>
      <c r="Y272">
        <v>123.6</v>
      </c>
      <c r="Z272">
        <v>119</v>
      </c>
      <c r="AA272">
        <v>125.5</v>
      </c>
      <c r="AB272">
        <v>112.2</v>
      </c>
    </row>
    <row r="273" spans="1:28" ht="24" x14ac:dyDescent="0.25">
      <c r="A273" s="20" t="s">
        <v>1473</v>
      </c>
      <c r="B273">
        <v>101.5</v>
      </c>
      <c r="C273">
        <v>92.1</v>
      </c>
      <c r="D273">
        <v>92.9</v>
      </c>
      <c r="E273">
        <v>88.9</v>
      </c>
      <c r="F273">
        <v>91.8</v>
      </c>
      <c r="G273">
        <v>95.5</v>
      </c>
      <c r="H273">
        <v>93.6</v>
      </c>
      <c r="I273">
        <v>95</v>
      </c>
      <c r="J273">
        <v>88.6</v>
      </c>
      <c r="K273">
        <v>86.4</v>
      </c>
      <c r="L273">
        <v>88.1</v>
      </c>
      <c r="M273">
        <v>77.599999999999994</v>
      </c>
      <c r="N273">
        <v>73.7</v>
      </c>
      <c r="O273">
        <v>70.599999999999994</v>
      </c>
      <c r="P273">
        <v>70.2</v>
      </c>
      <c r="Q273">
        <v>68</v>
      </c>
      <c r="R273">
        <v>70.8</v>
      </c>
      <c r="S273">
        <v>72.5</v>
      </c>
      <c r="T273">
        <v>68</v>
      </c>
      <c r="U273">
        <v>43.8</v>
      </c>
      <c r="V273">
        <v>56.8</v>
      </c>
      <c r="W273">
        <v>61.1</v>
      </c>
      <c r="X273">
        <v>55.4</v>
      </c>
      <c r="Y273">
        <v>53.3</v>
      </c>
      <c r="Z273">
        <v>58.6</v>
      </c>
      <c r="AA273">
        <v>48.9</v>
      </c>
      <c r="AB273">
        <v>42.3</v>
      </c>
    </row>
    <row r="274" spans="1:28" x14ac:dyDescent="0.25">
      <c r="A274" s="20" t="s">
        <v>1474</v>
      </c>
      <c r="B274">
        <v>37.700000000000003</v>
      </c>
      <c r="C274">
        <v>38</v>
      </c>
      <c r="D274">
        <v>37.700000000000003</v>
      </c>
      <c r="E274">
        <v>41</v>
      </c>
      <c r="F274">
        <v>41.1</v>
      </c>
      <c r="G274">
        <v>42.6</v>
      </c>
      <c r="H274">
        <v>40.1</v>
      </c>
      <c r="I274">
        <v>39.700000000000003</v>
      </c>
      <c r="J274">
        <v>29.7</v>
      </c>
      <c r="K274">
        <v>30.8</v>
      </c>
      <c r="L274">
        <v>29.9</v>
      </c>
      <c r="M274">
        <v>29.3</v>
      </c>
      <c r="N274">
        <v>30.1</v>
      </c>
      <c r="O274">
        <v>29</v>
      </c>
      <c r="P274">
        <v>28.7</v>
      </c>
      <c r="Q274">
        <v>30.1</v>
      </c>
      <c r="R274">
        <v>30.2</v>
      </c>
      <c r="S274">
        <v>31</v>
      </c>
      <c r="T274">
        <v>32.799999999999997</v>
      </c>
      <c r="U274">
        <v>32.299999999999997</v>
      </c>
      <c r="V274">
        <v>32.4</v>
      </c>
      <c r="W274">
        <v>35.700000000000003</v>
      </c>
      <c r="X274">
        <v>35.200000000000003</v>
      </c>
      <c r="Y274">
        <v>38.5</v>
      </c>
      <c r="Z274">
        <v>42.4</v>
      </c>
      <c r="AA274">
        <v>42.4</v>
      </c>
      <c r="AB274">
        <v>25.5</v>
      </c>
    </row>
    <row r="275" spans="1:28" x14ac:dyDescent="0.25">
      <c r="A275" s="20" t="s">
        <v>1475</v>
      </c>
      <c r="B275">
        <v>33.5</v>
      </c>
      <c r="C275">
        <v>32.700000000000003</v>
      </c>
      <c r="D275">
        <v>33</v>
      </c>
      <c r="E275">
        <v>34.799999999999997</v>
      </c>
      <c r="F275">
        <v>36.299999999999997</v>
      </c>
      <c r="G275">
        <v>37.1</v>
      </c>
      <c r="H275">
        <v>37.299999999999997</v>
      </c>
      <c r="I275">
        <v>38.6</v>
      </c>
      <c r="J275">
        <v>39.5</v>
      </c>
      <c r="K275">
        <v>40.200000000000003</v>
      </c>
      <c r="L275">
        <v>41.4</v>
      </c>
      <c r="M275">
        <v>41.6</v>
      </c>
      <c r="N275">
        <v>43.2</v>
      </c>
      <c r="O275">
        <v>43.3</v>
      </c>
      <c r="P275">
        <v>45.9</v>
      </c>
      <c r="Q275">
        <v>46.2</v>
      </c>
      <c r="R275">
        <v>46.9</v>
      </c>
      <c r="S275">
        <v>45.5</v>
      </c>
      <c r="T275">
        <v>41.4</v>
      </c>
      <c r="U275">
        <v>29.6</v>
      </c>
      <c r="V275">
        <v>31.4</v>
      </c>
      <c r="W275">
        <v>32.200000000000003</v>
      </c>
      <c r="X275">
        <v>35.299999999999997</v>
      </c>
      <c r="Y275">
        <v>36.4</v>
      </c>
      <c r="Z275">
        <v>39.4</v>
      </c>
      <c r="AA275">
        <v>39.9</v>
      </c>
      <c r="AB275">
        <v>39.4</v>
      </c>
    </row>
    <row r="276" spans="1:28" x14ac:dyDescent="0.25">
      <c r="A276" s="20" t="s">
        <v>1476</v>
      </c>
      <c r="B276">
        <v>21.3</v>
      </c>
      <c r="C276">
        <v>22.7</v>
      </c>
      <c r="D276">
        <v>23.3</v>
      </c>
      <c r="E276">
        <v>24.3</v>
      </c>
      <c r="F276">
        <v>26.2</v>
      </c>
      <c r="G276">
        <v>27.6</v>
      </c>
      <c r="H276">
        <v>28.7</v>
      </c>
      <c r="I276">
        <v>30.1</v>
      </c>
      <c r="J276">
        <v>30.4</v>
      </c>
      <c r="K276">
        <v>31.9</v>
      </c>
      <c r="L276">
        <v>31.1</v>
      </c>
      <c r="M276">
        <v>27.2</v>
      </c>
      <c r="N276">
        <v>28.3</v>
      </c>
      <c r="O276">
        <v>28</v>
      </c>
      <c r="P276">
        <v>30.2</v>
      </c>
      <c r="Q276">
        <v>27</v>
      </c>
      <c r="R276">
        <v>27.2</v>
      </c>
      <c r="S276">
        <v>27.6</v>
      </c>
      <c r="T276">
        <v>24.4</v>
      </c>
      <c r="U276">
        <v>23.4</v>
      </c>
      <c r="V276">
        <v>27.3</v>
      </c>
      <c r="W276">
        <v>26.3</v>
      </c>
      <c r="X276">
        <v>26.5</v>
      </c>
      <c r="Y276">
        <v>26.4</v>
      </c>
      <c r="Z276">
        <v>26.5</v>
      </c>
      <c r="AA276">
        <v>28.1</v>
      </c>
      <c r="AB276">
        <v>28.1</v>
      </c>
    </row>
    <row r="277" spans="1:28" x14ac:dyDescent="0.25">
      <c r="A277" s="20" t="s">
        <v>1477</v>
      </c>
      <c r="B277">
        <v>11.7</v>
      </c>
      <c r="C277">
        <v>11.5</v>
      </c>
      <c r="D277">
        <v>11.9</v>
      </c>
      <c r="E277">
        <v>12.3</v>
      </c>
      <c r="F277">
        <v>12.7</v>
      </c>
      <c r="G277">
        <v>13.5</v>
      </c>
      <c r="H277">
        <v>14.2</v>
      </c>
      <c r="I277">
        <v>14.5</v>
      </c>
      <c r="J277">
        <v>14.8</v>
      </c>
      <c r="K277">
        <v>14.4</v>
      </c>
      <c r="L277">
        <v>14.3</v>
      </c>
      <c r="M277">
        <v>13.7</v>
      </c>
      <c r="N277">
        <v>13.2</v>
      </c>
      <c r="O277">
        <v>13.9</v>
      </c>
      <c r="P277">
        <v>14.6</v>
      </c>
      <c r="Q277">
        <v>14.6</v>
      </c>
      <c r="R277">
        <v>15.2</v>
      </c>
      <c r="S277">
        <v>14.7</v>
      </c>
      <c r="T277">
        <v>14.5</v>
      </c>
      <c r="U277">
        <v>11.4</v>
      </c>
      <c r="V277">
        <v>13.4</v>
      </c>
      <c r="W277">
        <v>14</v>
      </c>
      <c r="X277">
        <v>13.8</v>
      </c>
      <c r="Y277">
        <v>14</v>
      </c>
      <c r="Z277">
        <v>14.2</v>
      </c>
      <c r="AA277">
        <v>13.3</v>
      </c>
      <c r="AB277">
        <v>12.9</v>
      </c>
    </row>
    <row r="278" spans="1:28" x14ac:dyDescent="0.25">
      <c r="A278" s="20" t="s">
        <v>1478</v>
      </c>
      <c r="B278">
        <v>4.9000000000000004</v>
      </c>
      <c r="C278">
        <v>4.3</v>
      </c>
      <c r="D278">
        <v>4.3</v>
      </c>
      <c r="E278">
        <v>3.9</v>
      </c>
      <c r="F278">
        <v>4.3</v>
      </c>
      <c r="G278">
        <v>6.2</v>
      </c>
      <c r="H278">
        <v>6.8</v>
      </c>
      <c r="I278">
        <v>6.4</v>
      </c>
      <c r="J278">
        <v>6.7</v>
      </c>
      <c r="K278">
        <v>7.6</v>
      </c>
      <c r="L278">
        <v>4.7</v>
      </c>
      <c r="M278">
        <v>4.7</v>
      </c>
      <c r="N278">
        <v>5.0999999999999996</v>
      </c>
      <c r="O278">
        <v>3.7</v>
      </c>
      <c r="P278">
        <v>5.6</v>
      </c>
      <c r="Q278">
        <v>6.3</v>
      </c>
      <c r="R278">
        <v>7.3</v>
      </c>
      <c r="S278">
        <v>7.4</v>
      </c>
      <c r="T278">
        <v>5.9</v>
      </c>
      <c r="U278">
        <v>7.6</v>
      </c>
      <c r="V278">
        <v>9.6</v>
      </c>
      <c r="W278">
        <v>9.3000000000000007</v>
      </c>
      <c r="X278">
        <v>8</v>
      </c>
      <c r="Y278">
        <v>10.4</v>
      </c>
      <c r="Z278">
        <v>11.8</v>
      </c>
      <c r="AA278">
        <v>11.2</v>
      </c>
      <c r="AB278">
        <v>11</v>
      </c>
    </row>
    <row r="279" spans="1:28" x14ac:dyDescent="0.25">
      <c r="A279" s="20" t="s">
        <v>1479</v>
      </c>
      <c r="B279">
        <v>13</v>
      </c>
      <c r="C279">
        <v>13.3</v>
      </c>
      <c r="D279">
        <v>13.7</v>
      </c>
      <c r="E279">
        <v>13.2</v>
      </c>
      <c r="F279">
        <v>14.2</v>
      </c>
      <c r="G279">
        <v>13.5</v>
      </c>
      <c r="H279">
        <v>13.8</v>
      </c>
      <c r="I279">
        <v>14</v>
      </c>
      <c r="J279">
        <v>14.1</v>
      </c>
      <c r="K279">
        <v>12.9</v>
      </c>
      <c r="L279">
        <v>12.2</v>
      </c>
      <c r="M279">
        <v>9.1999999999999993</v>
      </c>
      <c r="N279">
        <v>10.5</v>
      </c>
      <c r="O279">
        <v>8.8000000000000007</v>
      </c>
      <c r="P279">
        <v>9.6</v>
      </c>
      <c r="Q279">
        <v>9.1999999999999993</v>
      </c>
      <c r="R279">
        <v>8.8000000000000007</v>
      </c>
      <c r="S279">
        <v>9.1</v>
      </c>
      <c r="T279">
        <v>8.4</v>
      </c>
      <c r="U279">
        <v>8.5</v>
      </c>
      <c r="V279">
        <v>9.1999999999999993</v>
      </c>
      <c r="W279">
        <v>9.3000000000000007</v>
      </c>
      <c r="X279">
        <v>9.4</v>
      </c>
      <c r="Y279">
        <v>10</v>
      </c>
      <c r="Z279">
        <v>9.6</v>
      </c>
      <c r="AA279">
        <v>10.8</v>
      </c>
      <c r="AB279">
        <v>12.2</v>
      </c>
    </row>
    <row r="280" spans="1:28" x14ac:dyDescent="0.25">
      <c r="A280" s="20" t="s">
        <v>1480</v>
      </c>
      <c r="B280">
        <v>8</v>
      </c>
      <c r="C280">
        <v>8</v>
      </c>
      <c r="D280">
        <v>9.5</v>
      </c>
      <c r="E280">
        <v>9.8000000000000007</v>
      </c>
      <c r="F280">
        <v>10.8</v>
      </c>
      <c r="G280">
        <v>11.3</v>
      </c>
      <c r="H280">
        <v>11.9</v>
      </c>
      <c r="I280">
        <v>11.8</v>
      </c>
      <c r="J280">
        <v>10.8</v>
      </c>
      <c r="K280">
        <v>11</v>
      </c>
      <c r="L280">
        <v>11.1</v>
      </c>
      <c r="M280">
        <v>11.4</v>
      </c>
      <c r="N280">
        <v>11.8</v>
      </c>
      <c r="O280">
        <v>12.1</v>
      </c>
      <c r="P280">
        <v>12.4</v>
      </c>
      <c r="Q280">
        <v>12.5</v>
      </c>
      <c r="R280">
        <v>12.5</v>
      </c>
      <c r="S280">
        <v>12.7</v>
      </c>
      <c r="T280">
        <v>11.9</v>
      </c>
      <c r="U280">
        <v>11.3</v>
      </c>
      <c r="V280">
        <v>11</v>
      </c>
      <c r="W280">
        <v>10.6</v>
      </c>
      <c r="X280">
        <v>10.4</v>
      </c>
      <c r="Y280">
        <v>10.4</v>
      </c>
      <c r="Z280">
        <v>10.6</v>
      </c>
      <c r="AA280">
        <v>10.7</v>
      </c>
      <c r="AB280">
        <v>10.7</v>
      </c>
    </row>
    <row r="281" spans="1:28" x14ac:dyDescent="0.25">
      <c r="A281" s="20" t="s">
        <v>1481</v>
      </c>
      <c r="B281">
        <v>2.4</v>
      </c>
      <c r="C281">
        <v>2.2999999999999998</v>
      </c>
      <c r="D281">
        <v>2.4</v>
      </c>
      <c r="E281">
        <v>2.6</v>
      </c>
      <c r="F281">
        <v>2.7</v>
      </c>
      <c r="G281">
        <v>2.7</v>
      </c>
      <c r="H281">
        <v>2.6</v>
      </c>
      <c r="I281">
        <v>2.7</v>
      </c>
      <c r="J281">
        <v>2.9</v>
      </c>
      <c r="K281">
        <v>3</v>
      </c>
      <c r="L281">
        <v>3.2</v>
      </c>
      <c r="M281">
        <v>3.4</v>
      </c>
      <c r="N281">
        <v>3.6</v>
      </c>
      <c r="O281">
        <v>3.7</v>
      </c>
      <c r="P281">
        <v>3.7</v>
      </c>
      <c r="Q281">
        <v>3.5</v>
      </c>
      <c r="R281">
        <v>3.7</v>
      </c>
      <c r="S281">
        <v>3.8</v>
      </c>
      <c r="T281">
        <v>3.6</v>
      </c>
      <c r="U281">
        <v>3.6</v>
      </c>
      <c r="V281">
        <v>3.8</v>
      </c>
      <c r="W281">
        <v>4.0999999999999996</v>
      </c>
      <c r="X281">
        <v>4.3</v>
      </c>
      <c r="Y281">
        <v>4.5</v>
      </c>
      <c r="Z281">
        <v>4.8</v>
      </c>
      <c r="AA281">
        <v>5</v>
      </c>
      <c r="AB281">
        <v>5.0999999999999996</v>
      </c>
    </row>
    <row r="282" spans="1:28" x14ac:dyDescent="0.25">
      <c r="A282" s="20" t="s">
        <v>1482</v>
      </c>
      <c r="B282">
        <v>1.5</v>
      </c>
      <c r="C282">
        <v>1.5</v>
      </c>
      <c r="D282">
        <v>1.5</v>
      </c>
      <c r="E282">
        <v>1.5</v>
      </c>
      <c r="F282">
        <v>1.5</v>
      </c>
      <c r="G282">
        <v>1.5</v>
      </c>
      <c r="H282">
        <v>1.5</v>
      </c>
      <c r="I282">
        <v>1.5</v>
      </c>
      <c r="J282">
        <v>1.5</v>
      </c>
      <c r="K282">
        <v>1.5</v>
      </c>
      <c r="L282">
        <v>1.5</v>
      </c>
      <c r="M282">
        <v>0.9</v>
      </c>
      <c r="N282">
        <v>1</v>
      </c>
      <c r="O282">
        <v>1.4</v>
      </c>
      <c r="P282">
        <v>1.3</v>
      </c>
      <c r="Q282">
        <v>1.4</v>
      </c>
      <c r="R282">
        <v>1.8</v>
      </c>
      <c r="S282">
        <v>1.9</v>
      </c>
      <c r="T282">
        <v>1.8</v>
      </c>
      <c r="U282">
        <v>1.8</v>
      </c>
      <c r="V282">
        <v>4.4000000000000004</v>
      </c>
      <c r="W282">
        <v>4.0999999999999996</v>
      </c>
      <c r="X282">
        <v>4</v>
      </c>
      <c r="Y282">
        <v>4.2</v>
      </c>
      <c r="Z282">
        <v>4.5</v>
      </c>
      <c r="AA282">
        <v>4.3</v>
      </c>
      <c r="AB282">
        <v>4.5</v>
      </c>
    </row>
    <row r="283" spans="1:28" x14ac:dyDescent="0.25">
      <c r="A283" s="20" t="s">
        <v>1483</v>
      </c>
      <c r="B283">
        <v>4.7</v>
      </c>
      <c r="C283">
        <v>5</v>
      </c>
      <c r="D283">
        <v>4.4000000000000004</v>
      </c>
      <c r="E283">
        <v>3.8</v>
      </c>
      <c r="F283">
        <v>4.0999999999999996</v>
      </c>
      <c r="G283">
        <v>4.4000000000000004</v>
      </c>
      <c r="H283">
        <v>4.4000000000000004</v>
      </c>
      <c r="I283">
        <v>4.3</v>
      </c>
      <c r="J283">
        <v>4.7</v>
      </c>
      <c r="K283">
        <v>4.5</v>
      </c>
      <c r="L283">
        <v>4.3</v>
      </c>
      <c r="M283">
        <v>4.4000000000000004</v>
      </c>
      <c r="N283">
        <v>5</v>
      </c>
      <c r="O283">
        <v>4.5999999999999996</v>
      </c>
      <c r="P283">
        <v>3.9</v>
      </c>
      <c r="Q283">
        <v>4.3</v>
      </c>
      <c r="R283">
        <v>4.2</v>
      </c>
      <c r="S283">
        <v>4.5</v>
      </c>
      <c r="T283">
        <v>5</v>
      </c>
      <c r="U283">
        <v>3.7</v>
      </c>
      <c r="V283">
        <v>4.8</v>
      </c>
      <c r="W283">
        <v>3.9</v>
      </c>
      <c r="X283">
        <v>6</v>
      </c>
      <c r="Y283">
        <v>3.9</v>
      </c>
      <c r="Z283">
        <v>3.6</v>
      </c>
      <c r="AA283">
        <v>3.8</v>
      </c>
      <c r="AB283">
        <v>3.9</v>
      </c>
    </row>
    <row r="284" spans="1:28" x14ac:dyDescent="0.25">
      <c r="A284" s="20" t="s">
        <v>1484</v>
      </c>
      <c r="B284">
        <v>3.6</v>
      </c>
      <c r="C284">
        <v>3.5</v>
      </c>
      <c r="D284">
        <v>3.6</v>
      </c>
      <c r="E284">
        <v>3.6</v>
      </c>
      <c r="F284">
        <v>3.6</v>
      </c>
      <c r="G284">
        <v>3.7</v>
      </c>
      <c r="H284">
        <v>3.7</v>
      </c>
      <c r="I284">
        <v>3.8</v>
      </c>
      <c r="J284">
        <v>3.9</v>
      </c>
      <c r="K284">
        <v>3.8</v>
      </c>
      <c r="L284">
        <v>3.9</v>
      </c>
      <c r="M284">
        <v>3.9</v>
      </c>
      <c r="N284">
        <v>3.9</v>
      </c>
      <c r="O284">
        <v>4</v>
      </c>
      <c r="P284">
        <v>4</v>
      </c>
      <c r="Q284">
        <v>3.9</v>
      </c>
      <c r="R284">
        <v>3.9</v>
      </c>
      <c r="S284">
        <v>3.9</v>
      </c>
      <c r="T284">
        <v>3.8</v>
      </c>
      <c r="U284">
        <v>3.7</v>
      </c>
      <c r="V284">
        <v>4.2</v>
      </c>
      <c r="W284">
        <v>4.2</v>
      </c>
      <c r="X284">
        <v>3.9</v>
      </c>
      <c r="Y284">
        <v>3.7</v>
      </c>
      <c r="Z284">
        <v>3.6</v>
      </c>
      <c r="AA284">
        <v>3.6</v>
      </c>
      <c r="AB284">
        <v>22.8</v>
      </c>
    </row>
    <row r="285" spans="1:28" x14ac:dyDescent="0.25">
      <c r="A285" s="20" t="s">
        <v>1485</v>
      </c>
      <c r="B285">
        <v>2.8</v>
      </c>
      <c r="C285">
        <v>2.8</v>
      </c>
      <c r="D285">
        <v>2.8</v>
      </c>
      <c r="E285">
        <v>2.7</v>
      </c>
      <c r="F285">
        <v>2.7</v>
      </c>
      <c r="G285">
        <v>3</v>
      </c>
      <c r="H285">
        <v>3</v>
      </c>
      <c r="I285">
        <v>3.1</v>
      </c>
      <c r="J285">
        <v>3</v>
      </c>
      <c r="K285">
        <v>2.9</v>
      </c>
      <c r="L285">
        <v>2.9</v>
      </c>
      <c r="M285">
        <v>2.9</v>
      </c>
      <c r="N285">
        <v>2.8</v>
      </c>
      <c r="O285">
        <v>2.8</v>
      </c>
      <c r="P285">
        <v>2.9</v>
      </c>
      <c r="Q285">
        <v>3</v>
      </c>
      <c r="R285">
        <v>2.9</v>
      </c>
      <c r="S285">
        <v>2.9</v>
      </c>
      <c r="T285">
        <v>3</v>
      </c>
      <c r="U285">
        <v>2.6</v>
      </c>
      <c r="V285">
        <v>2.7</v>
      </c>
      <c r="W285">
        <v>2.7</v>
      </c>
      <c r="X285">
        <v>2.8</v>
      </c>
      <c r="Y285">
        <v>2.8</v>
      </c>
      <c r="Z285">
        <v>2.8</v>
      </c>
      <c r="AA285">
        <v>2.8</v>
      </c>
      <c r="AB285">
        <v>1.7</v>
      </c>
    </row>
    <row r="286" spans="1:28" x14ac:dyDescent="0.25">
      <c r="A286" s="20" t="s">
        <v>1486</v>
      </c>
      <c r="B286">
        <v>6.8</v>
      </c>
      <c r="C286">
        <v>6.9</v>
      </c>
      <c r="D286">
        <v>6.8</v>
      </c>
      <c r="E286">
        <v>6.2</v>
      </c>
      <c r="F286">
        <v>5.5</v>
      </c>
      <c r="G286">
        <v>5.7</v>
      </c>
      <c r="H286">
        <v>6</v>
      </c>
      <c r="I286">
        <v>6</v>
      </c>
      <c r="J286">
        <v>6.2</v>
      </c>
      <c r="K286">
        <v>6.3</v>
      </c>
      <c r="L286">
        <v>6.1</v>
      </c>
      <c r="M286">
        <v>4.4000000000000004</v>
      </c>
      <c r="N286">
        <v>4.5</v>
      </c>
      <c r="O286">
        <v>4.5</v>
      </c>
      <c r="P286">
        <v>4.2</v>
      </c>
      <c r="Q286">
        <v>4.0999999999999996</v>
      </c>
      <c r="R286">
        <v>3.8</v>
      </c>
      <c r="S286">
        <v>4.3</v>
      </c>
      <c r="T286">
        <v>4.5</v>
      </c>
      <c r="U286">
        <v>3</v>
      </c>
      <c r="V286">
        <v>2.7</v>
      </c>
      <c r="W286">
        <v>3.3</v>
      </c>
      <c r="X286">
        <v>3.4</v>
      </c>
      <c r="Y286">
        <v>3.3</v>
      </c>
      <c r="Z286">
        <v>2.8</v>
      </c>
      <c r="AA286">
        <v>2.8</v>
      </c>
      <c r="AB286">
        <v>1.3</v>
      </c>
    </row>
    <row r="287" spans="1:28" x14ac:dyDescent="0.25">
      <c r="A287" s="20" t="s">
        <v>1487</v>
      </c>
      <c r="B287">
        <v>2.2000000000000002</v>
      </c>
      <c r="C287">
        <v>1.9</v>
      </c>
      <c r="D287">
        <v>2</v>
      </c>
      <c r="E287">
        <v>1.9</v>
      </c>
      <c r="F287">
        <v>2</v>
      </c>
      <c r="G287">
        <v>2</v>
      </c>
      <c r="H287">
        <v>2.1</v>
      </c>
      <c r="I287">
        <v>2.2000000000000002</v>
      </c>
      <c r="J287">
        <v>2.2000000000000002</v>
      </c>
      <c r="K287">
        <v>2.2000000000000002</v>
      </c>
      <c r="L287">
        <v>1.9</v>
      </c>
      <c r="M287">
        <v>1.5</v>
      </c>
      <c r="N287">
        <v>1.3</v>
      </c>
      <c r="O287">
        <v>1.3</v>
      </c>
      <c r="P287">
        <v>1.4</v>
      </c>
      <c r="Q287">
        <v>1.4</v>
      </c>
      <c r="R287">
        <v>1.5</v>
      </c>
      <c r="S287">
        <v>1.6</v>
      </c>
      <c r="T287">
        <v>1.6</v>
      </c>
      <c r="U287">
        <v>1.5</v>
      </c>
      <c r="V287">
        <v>1.7</v>
      </c>
      <c r="W287">
        <v>1.7</v>
      </c>
      <c r="X287">
        <v>1.9</v>
      </c>
      <c r="Y287">
        <v>1.8</v>
      </c>
      <c r="Z287">
        <v>1.9</v>
      </c>
      <c r="AA287">
        <v>2</v>
      </c>
      <c r="AB287">
        <v>1.8</v>
      </c>
    </row>
    <row r="288" spans="1:28" x14ac:dyDescent="0.25">
      <c r="A288" s="20" t="s">
        <v>1488</v>
      </c>
      <c r="B288">
        <v>1.2</v>
      </c>
      <c r="C288">
        <v>1.2</v>
      </c>
      <c r="D288">
        <v>1.4</v>
      </c>
      <c r="E288">
        <v>1.4</v>
      </c>
      <c r="F288">
        <v>1.5</v>
      </c>
      <c r="G288">
        <v>1.5</v>
      </c>
      <c r="H288">
        <v>1.5</v>
      </c>
      <c r="I288">
        <v>1.7</v>
      </c>
      <c r="J288">
        <v>1.7</v>
      </c>
      <c r="K288">
        <v>1.7</v>
      </c>
      <c r="L288">
        <v>1.8</v>
      </c>
      <c r="M288">
        <v>1.7</v>
      </c>
      <c r="N288">
        <v>1.8</v>
      </c>
      <c r="O288">
        <v>1.8</v>
      </c>
      <c r="P288">
        <v>2.1</v>
      </c>
      <c r="Q288">
        <v>1.8</v>
      </c>
      <c r="R288">
        <v>1.8</v>
      </c>
      <c r="S288">
        <v>1.9</v>
      </c>
      <c r="T288">
        <v>1.8</v>
      </c>
      <c r="U288">
        <v>1.6</v>
      </c>
      <c r="V288">
        <v>1.8</v>
      </c>
      <c r="W288">
        <v>1.7</v>
      </c>
      <c r="X288">
        <v>1.5</v>
      </c>
      <c r="Y288">
        <v>1.7</v>
      </c>
      <c r="Z288">
        <v>1.7</v>
      </c>
      <c r="AA288">
        <v>1.6</v>
      </c>
      <c r="AB288">
        <v>1.6</v>
      </c>
    </row>
    <row r="289" spans="1:28" x14ac:dyDescent="0.25">
      <c r="A289" s="20" t="s">
        <v>1489</v>
      </c>
      <c r="B289">
        <v>1.5</v>
      </c>
      <c r="C289">
        <v>1.4</v>
      </c>
      <c r="D289">
        <v>1.5</v>
      </c>
      <c r="E289">
        <v>1.6</v>
      </c>
      <c r="F289">
        <v>1.7</v>
      </c>
      <c r="G289">
        <v>1.8</v>
      </c>
      <c r="H289">
        <v>1.7</v>
      </c>
      <c r="I289">
        <v>1.6</v>
      </c>
      <c r="J289">
        <v>1.5</v>
      </c>
      <c r="K289">
        <v>1.4</v>
      </c>
      <c r="L289">
        <v>1.7</v>
      </c>
      <c r="M289">
        <v>1.4</v>
      </c>
      <c r="N289">
        <v>1.7</v>
      </c>
      <c r="O289">
        <v>1.6</v>
      </c>
      <c r="P289">
        <v>1.6</v>
      </c>
      <c r="Q289">
        <v>1.9</v>
      </c>
      <c r="R289">
        <v>2.1</v>
      </c>
      <c r="S289">
        <v>1.5</v>
      </c>
      <c r="T289">
        <v>1.5</v>
      </c>
      <c r="U289">
        <v>1</v>
      </c>
      <c r="V289">
        <v>1.5</v>
      </c>
      <c r="W289">
        <v>1.3</v>
      </c>
      <c r="X289">
        <v>1.2</v>
      </c>
      <c r="Y289">
        <v>1.3</v>
      </c>
      <c r="Z289">
        <v>1.3</v>
      </c>
      <c r="AA289">
        <v>1.3</v>
      </c>
      <c r="AB289">
        <v>1.2</v>
      </c>
    </row>
    <row r="290" spans="1:28" ht="24" x14ac:dyDescent="0.25">
      <c r="A290" s="20" t="s">
        <v>1490</v>
      </c>
      <c r="B290">
        <v>3.8</v>
      </c>
      <c r="C290">
        <v>3.5</v>
      </c>
      <c r="D290">
        <v>3.9</v>
      </c>
      <c r="E290">
        <v>4.5999999999999996</v>
      </c>
      <c r="F290">
        <v>4.3</v>
      </c>
      <c r="G290">
        <v>4.3</v>
      </c>
      <c r="H290">
        <v>3.9</v>
      </c>
      <c r="I290">
        <v>3.9</v>
      </c>
      <c r="J290">
        <v>4.8</v>
      </c>
      <c r="K290">
        <v>4.7</v>
      </c>
      <c r="L290">
        <v>4.2</v>
      </c>
      <c r="M290">
        <v>4.0999999999999996</v>
      </c>
      <c r="N290">
        <v>3.7</v>
      </c>
      <c r="O290">
        <v>3.6</v>
      </c>
      <c r="P290">
        <v>3.7</v>
      </c>
      <c r="Q290">
        <v>3.7</v>
      </c>
      <c r="R290">
        <v>3.5</v>
      </c>
      <c r="S290">
        <v>4.9000000000000004</v>
      </c>
      <c r="T290">
        <v>4.0999999999999996</v>
      </c>
      <c r="U290">
        <v>3.4</v>
      </c>
      <c r="V290">
        <v>4.7</v>
      </c>
      <c r="W290">
        <v>4</v>
      </c>
      <c r="X290">
        <v>4.4000000000000004</v>
      </c>
      <c r="Y290">
        <v>4</v>
      </c>
      <c r="Z290">
        <v>1.4</v>
      </c>
      <c r="AA290">
        <v>1.1000000000000001</v>
      </c>
      <c r="AB290">
        <v>4</v>
      </c>
    </row>
    <row r="291" spans="1:28" x14ac:dyDescent="0.25">
      <c r="A291" s="20" t="s">
        <v>1491</v>
      </c>
      <c r="B291">
        <v>1.5</v>
      </c>
      <c r="C291">
        <v>1.4</v>
      </c>
      <c r="D291">
        <v>1.5</v>
      </c>
      <c r="E291">
        <v>1.3</v>
      </c>
      <c r="F291">
        <v>1.5</v>
      </c>
      <c r="G291">
        <v>1.5</v>
      </c>
      <c r="H291">
        <v>1.6</v>
      </c>
      <c r="I291">
        <v>1.5</v>
      </c>
      <c r="J291">
        <v>1.6</v>
      </c>
      <c r="K291">
        <v>1.5</v>
      </c>
      <c r="L291">
        <v>1.4</v>
      </c>
      <c r="M291">
        <v>1.3</v>
      </c>
      <c r="N291">
        <v>1.3</v>
      </c>
      <c r="O291">
        <v>1.4</v>
      </c>
      <c r="P291">
        <v>1.4</v>
      </c>
      <c r="Q291">
        <v>1.3</v>
      </c>
      <c r="R291">
        <v>1.2</v>
      </c>
      <c r="S291">
        <v>1.2</v>
      </c>
      <c r="T291">
        <v>1.1000000000000001</v>
      </c>
      <c r="U291">
        <v>1</v>
      </c>
      <c r="V291">
        <v>1.1000000000000001</v>
      </c>
      <c r="W291">
        <v>1.2</v>
      </c>
      <c r="X291">
        <v>1.1000000000000001</v>
      </c>
      <c r="Y291">
        <v>1.1000000000000001</v>
      </c>
      <c r="Z291">
        <v>1</v>
      </c>
      <c r="AA291">
        <v>1</v>
      </c>
      <c r="AB291">
        <v>1</v>
      </c>
    </row>
    <row r="292" spans="1:28" x14ac:dyDescent="0.25">
      <c r="A292" s="20" t="s">
        <v>1492</v>
      </c>
      <c r="B292">
        <v>0.6</v>
      </c>
      <c r="C292">
        <v>0.8</v>
      </c>
      <c r="D292">
        <v>0.8</v>
      </c>
      <c r="E292">
        <v>0.9</v>
      </c>
      <c r="F292">
        <v>0.9</v>
      </c>
      <c r="G292">
        <v>0.9</v>
      </c>
      <c r="H292">
        <v>0.9</v>
      </c>
      <c r="I292">
        <v>1</v>
      </c>
      <c r="J292">
        <v>0.9</v>
      </c>
      <c r="K292">
        <v>0.9</v>
      </c>
      <c r="L292">
        <v>0.9</v>
      </c>
      <c r="M292">
        <v>0.7</v>
      </c>
      <c r="N292">
        <v>0.7</v>
      </c>
      <c r="O292">
        <v>1.1000000000000001</v>
      </c>
      <c r="P292">
        <v>1</v>
      </c>
      <c r="Q292">
        <v>1</v>
      </c>
      <c r="R292">
        <v>1</v>
      </c>
      <c r="S292">
        <v>1</v>
      </c>
      <c r="T292">
        <v>1.2</v>
      </c>
      <c r="U292">
        <v>0.9</v>
      </c>
      <c r="V292">
        <v>1.2</v>
      </c>
      <c r="W292">
        <v>1.3</v>
      </c>
      <c r="X292">
        <v>1.5</v>
      </c>
      <c r="Y292">
        <v>1.4</v>
      </c>
      <c r="Z292">
        <v>1</v>
      </c>
      <c r="AA292">
        <v>0.9</v>
      </c>
      <c r="AB292">
        <v>0.9</v>
      </c>
    </row>
    <row r="293" spans="1:28" x14ac:dyDescent="0.25">
      <c r="A293" s="20" t="s">
        <v>1493</v>
      </c>
      <c r="B293">
        <v>0.5</v>
      </c>
      <c r="C293">
        <v>0.5</v>
      </c>
      <c r="D293">
        <v>0.5</v>
      </c>
      <c r="E293">
        <v>0.5</v>
      </c>
      <c r="F293">
        <v>0.5</v>
      </c>
      <c r="G293">
        <v>0.6</v>
      </c>
      <c r="H293">
        <v>0.6</v>
      </c>
      <c r="I293">
        <v>0.6</v>
      </c>
      <c r="J293">
        <v>0.6</v>
      </c>
      <c r="K293">
        <v>0.6</v>
      </c>
      <c r="L293">
        <v>0.6</v>
      </c>
      <c r="M293">
        <v>0.6</v>
      </c>
      <c r="N293">
        <v>0.6</v>
      </c>
      <c r="O293">
        <v>0.6</v>
      </c>
      <c r="P293">
        <v>0.5</v>
      </c>
      <c r="Q293">
        <v>0.6</v>
      </c>
      <c r="R293">
        <v>0.6</v>
      </c>
      <c r="S293">
        <v>0.6</v>
      </c>
      <c r="T293">
        <v>0.5</v>
      </c>
      <c r="U293">
        <v>0.5</v>
      </c>
      <c r="V293">
        <v>0.5</v>
      </c>
      <c r="W293">
        <v>0.5</v>
      </c>
      <c r="X293">
        <v>0.5</v>
      </c>
      <c r="Y293">
        <v>0.5</v>
      </c>
      <c r="Z293">
        <v>0.5</v>
      </c>
      <c r="AA293">
        <v>0.5</v>
      </c>
      <c r="AB293">
        <v>0.5</v>
      </c>
    </row>
    <row r="294" spans="1:28" x14ac:dyDescent="0.25">
      <c r="A294" s="20" t="s">
        <v>1494</v>
      </c>
      <c r="B294">
        <v>0.4</v>
      </c>
      <c r="C294">
        <v>0.3</v>
      </c>
      <c r="D294">
        <v>0.3</v>
      </c>
      <c r="E294">
        <v>0.3</v>
      </c>
      <c r="F294">
        <v>0.3</v>
      </c>
      <c r="G294">
        <v>0.3</v>
      </c>
      <c r="H294">
        <v>0.3</v>
      </c>
      <c r="I294">
        <v>0.3</v>
      </c>
      <c r="J294">
        <v>0.4</v>
      </c>
      <c r="K294">
        <v>0.3</v>
      </c>
      <c r="L294">
        <v>0.2</v>
      </c>
      <c r="M294">
        <v>0.2</v>
      </c>
      <c r="N294">
        <v>0.2</v>
      </c>
      <c r="O294">
        <v>0.2</v>
      </c>
      <c r="P294">
        <v>0.2</v>
      </c>
      <c r="Q294">
        <v>0.2</v>
      </c>
      <c r="R294">
        <v>0.2</v>
      </c>
      <c r="S294">
        <v>0.2</v>
      </c>
      <c r="T294">
        <v>0.2</v>
      </c>
      <c r="U294">
        <v>0.1</v>
      </c>
      <c r="V294">
        <v>0.2</v>
      </c>
      <c r="W294">
        <v>0.2</v>
      </c>
      <c r="X294">
        <v>0.2</v>
      </c>
      <c r="Y294">
        <v>0.2</v>
      </c>
      <c r="Z294">
        <v>0.2</v>
      </c>
      <c r="AA294">
        <v>0.2</v>
      </c>
      <c r="AB294">
        <v>0.2</v>
      </c>
    </row>
    <row r="295" spans="1:28" x14ac:dyDescent="0.25">
      <c r="A295" s="20" t="s">
        <v>1495</v>
      </c>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row>
    <row r="296" spans="1:28" ht="24" x14ac:dyDescent="0.25">
      <c r="A296" s="30" t="s">
        <v>1496</v>
      </c>
      <c r="B296">
        <v>219.4</v>
      </c>
      <c r="C296">
        <v>220.2</v>
      </c>
      <c r="D296">
        <v>230.6</v>
      </c>
      <c r="E296">
        <v>225.8</v>
      </c>
      <c r="F296">
        <v>232.3</v>
      </c>
      <c r="G296">
        <v>236.9</v>
      </c>
      <c r="H296">
        <v>241.3</v>
      </c>
      <c r="I296">
        <v>235.6</v>
      </c>
      <c r="J296">
        <v>218.2</v>
      </c>
      <c r="K296">
        <v>221.5</v>
      </c>
      <c r="L296">
        <v>227.4</v>
      </c>
      <c r="M296">
        <v>203.4</v>
      </c>
      <c r="N296">
        <v>204.7</v>
      </c>
      <c r="O296">
        <v>209.9</v>
      </c>
      <c r="P296">
        <v>225.4</v>
      </c>
      <c r="Q296">
        <v>230.7</v>
      </c>
      <c r="R296">
        <v>236.3</v>
      </c>
      <c r="S296">
        <v>244.6</v>
      </c>
      <c r="T296">
        <v>257.5</v>
      </c>
      <c r="U296">
        <v>253.5</v>
      </c>
      <c r="V296">
        <v>267.60000000000002</v>
      </c>
      <c r="W296">
        <v>276.39999999999998</v>
      </c>
      <c r="X296">
        <v>276.2</v>
      </c>
      <c r="Y296">
        <v>299.8</v>
      </c>
      <c r="Z296">
        <v>307.10000000000002</v>
      </c>
      <c r="AA296">
        <v>291.7</v>
      </c>
      <c r="AB296">
        <v>309.3</v>
      </c>
    </row>
    <row r="297" spans="1:28" x14ac:dyDescent="0.25">
      <c r="A297" s="30" t="s">
        <v>1497</v>
      </c>
      <c r="B297">
        <v>103.5</v>
      </c>
      <c r="C297">
        <v>117.6</v>
      </c>
      <c r="D297">
        <v>107.9</v>
      </c>
      <c r="E297">
        <v>97.8</v>
      </c>
      <c r="F297">
        <v>96.7</v>
      </c>
      <c r="G297">
        <v>98.5</v>
      </c>
      <c r="H297">
        <v>99.7</v>
      </c>
      <c r="I297">
        <v>107</v>
      </c>
      <c r="J297">
        <v>110.5</v>
      </c>
      <c r="K297">
        <v>102.7</v>
      </c>
      <c r="L297">
        <v>101.7</v>
      </c>
      <c r="M297">
        <v>93.7</v>
      </c>
      <c r="N297">
        <v>94.4</v>
      </c>
      <c r="O297">
        <v>98.3</v>
      </c>
      <c r="P297">
        <v>108.4</v>
      </c>
      <c r="Q297">
        <v>113.1</v>
      </c>
      <c r="R297">
        <v>114.1</v>
      </c>
      <c r="S297">
        <v>115.3</v>
      </c>
      <c r="T297">
        <v>114.3</v>
      </c>
      <c r="U297">
        <v>106.4</v>
      </c>
      <c r="V297">
        <v>117</v>
      </c>
      <c r="W297">
        <v>111.7</v>
      </c>
      <c r="X297">
        <v>105.8</v>
      </c>
      <c r="Y297">
        <v>99.8</v>
      </c>
      <c r="Z297">
        <v>103.2</v>
      </c>
      <c r="AA297">
        <v>110.8</v>
      </c>
      <c r="AB297">
        <v>116.6</v>
      </c>
    </row>
    <row r="298" spans="1:28" x14ac:dyDescent="0.25">
      <c r="A298" s="30" t="s">
        <v>1498</v>
      </c>
      <c r="B298">
        <v>780.8</v>
      </c>
      <c r="C298">
        <v>785.3</v>
      </c>
      <c r="D298">
        <v>784.3</v>
      </c>
      <c r="E298">
        <v>769.1</v>
      </c>
      <c r="F298">
        <v>772.9</v>
      </c>
      <c r="G298">
        <v>765.1</v>
      </c>
      <c r="H298">
        <v>756.5</v>
      </c>
      <c r="I298">
        <v>740.5</v>
      </c>
      <c r="J298">
        <v>725.8</v>
      </c>
      <c r="K298">
        <v>713.9</v>
      </c>
      <c r="L298">
        <v>704.2</v>
      </c>
      <c r="M298">
        <v>695.8</v>
      </c>
      <c r="N298">
        <v>684.2</v>
      </c>
      <c r="O298">
        <v>684.4</v>
      </c>
      <c r="P298">
        <v>675.8</v>
      </c>
      <c r="Q298">
        <v>680.9</v>
      </c>
      <c r="R298">
        <v>682.1</v>
      </c>
      <c r="S298">
        <v>686</v>
      </c>
      <c r="T298">
        <v>695.1</v>
      </c>
      <c r="U298">
        <v>690.4</v>
      </c>
      <c r="V298">
        <v>692.1</v>
      </c>
      <c r="W298">
        <v>672.1</v>
      </c>
      <c r="X298">
        <v>666.1</v>
      </c>
      <c r="Y298">
        <v>658.8</v>
      </c>
      <c r="Z298">
        <v>659.1</v>
      </c>
      <c r="AA298">
        <v>655.7</v>
      </c>
      <c r="AB298">
        <v>657.4</v>
      </c>
    </row>
    <row r="299" spans="1:28" x14ac:dyDescent="0.25">
      <c r="A299" s="20" t="s">
        <v>1499</v>
      </c>
      <c r="B299">
        <v>164.2</v>
      </c>
      <c r="C299">
        <v>164.4</v>
      </c>
      <c r="D299">
        <v>169.2</v>
      </c>
      <c r="E299">
        <v>171.6</v>
      </c>
      <c r="F299">
        <v>174.7</v>
      </c>
      <c r="G299">
        <v>178.7</v>
      </c>
      <c r="H299">
        <v>177.5</v>
      </c>
      <c r="I299">
        <v>174.1</v>
      </c>
      <c r="J299">
        <v>172.3</v>
      </c>
      <c r="K299">
        <v>172.4</v>
      </c>
      <c r="L299">
        <v>170.6</v>
      </c>
      <c r="M299">
        <v>169.6</v>
      </c>
      <c r="N299">
        <v>169.8</v>
      </c>
      <c r="O299">
        <v>170</v>
      </c>
      <c r="P299">
        <v>166.8</v>
      </c>
      <c r="Q299">
        <v>168.9</v>
      </c>
      <c r="R299">
        <v>171.6</v>
      </c>
      <c r="S299">
        <v>174.5</v>
      </c>
      <c r="T299">
        <v>173.8</v>
      </c>
      <c r="U299">
        <v>173</v>
      </c>
      <c r="V299">
        <v>171.3</v>
      </c>
      <c r="W299">
        <v>168.9</v>
      </c>
      <c r="X299">
        <v>166.7</v>
      </c>
      <c r="Y299">
        <v>165.5</v>
      </c>
      <c r="Z299">
        <v>164.2</v>
      </c>
      <c r="AA299">
        <v>166.5</v>
      </c>
      <c r="AB299">
        <v>170.1</v>
      </c>
    </row>
    <row r="300" spans="1:28" x14ac:dyDescent="0.25">
      <c r="A300" s="20" t="s">
        <v>1474</v>
      </c>
      <c r="B300">
        <v>194.1</v>
      </c>
      <c r="C300">
        <v>196.5</v>
      </c>
      <c r="D300">
        <v>195.3</v>
      </c>
      <c r="E300">
        <v>192.8</v>
      </c>
      <c r="F300">
        <v>192.3</v>
      </c>
      <c r="G300">
        <v>184.9</v>
      </c>
      <c r="H300">
        <v>181.8</v>
      </c>
      <c r="I300">
        <v>179.2</v>
      </c>
      <c r="J300">
        <v>174.5</v>
      </c>
      <c r="K300">
        <v>172.9</v>
      </c>
      <c r="L300">
        <v>169.7</v>
      </c>
      <c r="M300">
        <v>169.8</v>
      </c>
      <c r="N300">
        <v>163.4</v>
      </c>
      <c r="O300">
        <v>162.30000000000001</v>
      </c>
      <c r="P300">
        <v>160.19999999999999</v>
      </c>
      <c r="Q300">
        <v>159.69999999999999</v>
      </c>
      <c r="R300">
        <v>162.19999999999999</v>
      </c>
      <c r="S300">
        <v>159.80000000000001</v>
      </c>
      <c r="T300">
        <v>162.69999999999999</v>
      </c>
      <c r="U300">
        <v>156.1</v>
      </c>
      <c r="V300">
        <v>152.30000000000001</v>
      </c>
      <c r="W300">
        <v>154.5</v>
      </c>
      <c r="X300">
        <v>156.19999999999999</v>
      </c>
      <c r="Y300">
        <v>159.19999999999999</v>
      </c>
      <c r="Z300">
        <v>162.5</v>
      </c>
      <c r="AA300">
        <v>162.4</v>
      </c>
      <c r="AB300">
        <v>163.5</v>
      </c>
    </row>
    <row r="301" spans="1:28" x14ac:dyDescent="0.25">
      <c r="A301" s="20" t="s">
        <v>1500</v>
      </c>
      <c r="B301">
        <v>179.6</v>
      </c>
      <c r="C301">
        <v>181.7</v>
      </c>
      <c r="D301">
        <v>181.4</v>
      </c>
      <c r="E301">
        <v>179.2</v>
      </c>
      <c r="F301">
        <v>179</v>
      </c>
      <c r="G301">
        <v>174.2</v>
      </c>
      <c r="H301">
        <v>170.6</v>
      </c>
      <c r="I301">
        <v>161.1</v>
      </c>
      <c r="J301">
        <v>151.4</v>
      </c>
      <c r="K301">
        <v>144.69999999999999</v>
      </c>
      <c r="L301">
        <v>141.4</v>
      </c>
      <c r="M301">
        <v>136.80000000000001</v>
      </c>
      <c r="N301">
        <v>134.9</v>
      </c>
      <c r="O301">
        <v>137.4</v>
      </c>
      <c r="P301">
        <v>134.9</v>
      </c>
      <c r="Q301">
        <v>134.30000000000001</v>
      </c>
      <c r="R301">
        <v>132.30000000000001</v>
      </c>
      <c r="S301">
        <v>130.30000000000001</v>
      </c>
      <c r="T301">
        <v>128.4</v>
      </c>
      <c r="U301">
        <v>126.5</v>
      </c>
      <c r="V301">
        <v>127.6</v>
      </c>
      <c r="W301">
        <v>119</v>
      </c>
      <c r="X301">
        <v>120.8</v>
      </c>
      <c r="Y301">
        <v>116.7</v>
      </c>
      <c r="Z301">
        <v>116.6</v>
      </c>
      <c r="AA301">
        <v>115.7</v>
      </c>
      <c r="AB301">
        <v>107.7</v>
      </c>
    </row>
    <row r="302" spans="1:28" x14ac:dyDescent="0.25">
      <c r="A302" s="20" t="s">
        <v>1501</v>
      </c>
      <c r="B302">
        <v>37.200000000000003</v>
      </c>
      <c r="C302">
        <v>38.9</v>
      </c>
      <c r="D302">
        <v>37.5</v>
      </c>
      <c r="E302">
        <v>39.200000000000003</v>
      </c>
      <c r="F302">
        <v>42</v>
      </c>
      <c r="G302">
        <v>43.3</v>
      </c>
      <c r="H302">
        <v>42.6</v>
      </c>
      <c r="I302">
        <v>44.7</v>
      </c>
      <c r="J302">
        <v>48.7</v>
      </c>
      <c r="K302">
        <v>49.3</v>
      </c>
      <c r="L302">
        <v>50</v>
      </c>
      <c r="M302">
        <v>52.2</v>
      </c>
      <c r="N302">
        <v>53.5</v>
      </c>
      <c r="O302">
        <v>54.4</v>
      </c>
      <c r="P302">
        <v>53.1</v>
      </c>
      <c r="Q302">
        <v>56.3</v>
      </c>
      <c r="R302">
        <v>57</v>
      </c>
      <c r="S302">
        <v>62</v>
      </c>
      <c r="T302">
        <v>61.4</v>
      </c>
      <c r="U302">
        <v>60.4</v>
      </c>
      <c r="V302">
        <v>62.1</v>
      </c>
      <c r="W302">
        <v>63</v>
      </c>
      <c r="X302">
        <v>65.599999999999994</v>
      </c>
      <c r="Y302">
        <v>63.3</v>
      </c>
      <c r="Z302">
        <v>62.9</v>
      </c>
      <c r="AA302">
        <v>66.3</v>
      </c>
      <c r="AB302">
        <v>67.7</v>
      </c>
    </row>
    <row r="303" spans="1:28" x14ac:dyDescent="0.25">
      <c r="A303" s="20" t="s">
        <v>1502</v>
      </c>
      <c r="B303">
        <v>96.5</v>
      </c>
      <c r="C303">
        <v>93.2</v>
      </c>
      <c r="D303">
        <v>90.7</v>
      </c>
      <c r="E303">
        <v>77.3</v>
      </c>
      <c r="F303">
        <v>77.599999999999994</v>
      </c>
      <c r="G303">
        <v>76.400000000000006</v>
      </c>
      <c r="H303">
        <v>76</v>
      </c>
      <c r="I303">
        <v>75.400000000000006</v>
      </c>
      <c r="J303">
        <v>75.7</v>
      </c>
      <c r="K303">
        <v>71.2</v>
      </c>
      <c r="L303">
        <v>68.3</v>
      </c>
      <c r="M303">
        <v>68</v>
      </c>
      <c r="N303">
        <v>63.8</v>
      </c>
      <c r="O303">
        <v>64</v>
      </c>
      <c r="P303">
        <v>65.3</v>
      </c>
      <c r="Q303">
        <v>64.099999999999994</v>
      </c>
      <c r="R303">
        <v>65.599999999999994</v>
      </c>
      <c r="S303">
        <v>64.8</v>
      </c>
      <c r="T303">
        <v>75.599999999999994</v>
      </c>
      <c r="U303">
        <v>79.900000000000006</v>
      </c>
      <c r="V303">
        <v>82.3</v>
      </c>
      <c r="W303">
        <v>71.2</v>
      </c>
      <c r="X303">
        <v>66.5</v>
      </c>
      <c r="Y303">
        <v>64.599999999999994</v>
      </c>
      <c r="Z303">
        <v>64.8</v>
      </c>
      <c r="AA303">
        <v>60.9</v>
      </c>
      <c r="AB303">
        <v>53.8</v>
      </c>
    </row>
    <row r="304" spans="1:28" x14ac:dyDescent="0.25">
      <c r="A304" s="20" t="s">
        <v>1484</v>
      </c>
      <c r="B304">
        <v>55.5</v>
      </c>
      <c r="C304">
        <v>55.5</v>
      </c>
      <c r="D304">
        <v>53.8</v>
      </c>
      <c r="E304">
        <v>52.6</v>
      </c>
      <c r="F304">
        <v>51.7</v>
      </c>
      <c r="G304">
        <v>50.9</v>
      </c>
      <c r="H304">
        <v>50.5</v>
      </c>
      <c r="I304">
        <v>50.4</v>
      </c>
      <c r="J304">
        <v>49</v>
      </c>
      <c r="K304">
        <v>47.3</v>
      </c>
      <c r="L304">
        <v>47.3</v>
      </c>
      <c r="M304">
        <v>47.1</v>
      </c>
      <c r="N304">
        <v>46.5</v>
      </c>
      <c r="O304">
        <v>46.3</v>
      </c>
      <c r="P304">
        <v>46</v>
      </c>
      <c r="Q304">
        <v>46</v>
      </c>
      <c r="R304">
        <v>46.3</v>
      </c>
      <c r="S304">
        <v>46.2</v>
      </c>
      <c r="T304">
        <v>47</v>
      </c>
      <c r="U304">
        <v>46.2</v>
      </c>
      <c r="V304">
        <v>47</v>
      </c>
      <c r="W304">
        <v>48</v>
      </c>
      <c r="X304">
        <v>46.4</v>
      </c>
      <c r="Y304">
        <v>44.5</v>
      </c>
      <c r="Z304">
        <v>43</v>
      </c>
      <c r="AA304">
        <v>39.9</v>
      </c>
      <c r="AB304">
        <v>38.6</v>
      </c>
    </row>
    <row r="305" spans="1:28" x14ac:dyDescent="0.25">
      <c r="A305" s="20" t="s">
        <v>1503</v>
      </c>
      <c r="B305">
        <v>15.7</v>
      </c>
      <c r="C305">
        <v>15.9</v>
      </c>
      <c r="D305">
        <v>16.2</v>
      </c>
      <c r="E305">
        <v>16.2</v>
      </c>
      <c r="F305">
        <v>16.399999999999999</v>
      </c>
      <c r="G305">
        <v>16.399999999999999</v>
      </c>
      <c r="H305">
        <v>16.399999999999999</v>
      </c>
      <c r="I305">
        <v>16.5</v>
      </c>
      <c r="J305">
        <v>16.5</v>
      </c>
      <c r="K305">
        <v>16.600000000000001</v>
      </c>
      <c r="L305">
        <v>16.600000000000001</v>
      </c>
      <c r="M305">
        <v>16.3</v>
      </c>
      <c r="N305">
        <v>16.3</v>
      </c>
      <c r="O305">
        <v>16.100000000000001</v>
      </c>
      <c r="P305">
        <v>15.9</v>
      </c>
      <c r="Q305">
        <v>16</v>
      </c>
      <c r="R305">
        <v>16</v>
      </c>
      <c r="S305">
        <v>16</v>
      </c>
      <c r="T305">
        <v>16</v>
      </c>
      <c r="U305">
        <v>15.7</v>
      </c>
      <c r="V305">
        <v>15.5</v>
      </c>
      <c r="W305">
        <v>15.3</v>
      </c>
      <c r="X305">
        <v>15.1</v>
      </c>
      <c r="Y305">
        <v>14.9</v>
      </c>
      <c r="Z305">
        <v>14.8</v>
      </c>
      <c r="AA305">
        <v>14.8</v>
      </c>
      <c r="AB305">
        <v>14.8</v>
      </c>
    </row>
    <row r="306" spans="1:28" x14ac:dyDescent="0.25">
      <c r="A306" s="20" t="s">
        <v>1504</v>
      </c>
      <c r="B306">
        <v>16</v>
      </c>
      <c r="C306">
        <v>16.8</v>
      </c>
      <c r="D306">
        <v>16.899999999999999</v>
      </c>
      <c r="E306">
        <v>16.899999999999999</v>
      </c>
      <c r="F306">
        <v>14.8</v>
      </c>
      <c r="G306">
        <v>15.8</v>
      </c>
      <c r="H306">
        <v>16</v>
      </c>
      <c r="I306">
        <v>15.8</v>
      </c>
      <c r="J306">
        <v>16.100000000000001</v>
      </c>
      <c r="K306">
        <v>18.100000000000001</v>
      </c>
      <c r="L306">
        <v>18.3</v>
      </c>
      <c r="M306">
        <v>15.6</v>
      </c>
      <c r="N306">
        <v>16.5</v>
      </c>
      <c r="O306">
        <v>14.3</v>
      </c>
      <c r="P306">
        <v>14.1</v>
      </c>
      <c r="Q306">
        <v>16.7</v>
      </c>
      <c r="R306">
        <v>12.9</v>
      </c>
      <c r="S306">
        <v>13.9</v>
      </c>
      <c r="T306">
        <v>11.5</v>
      </c>
      <c r="U306">
        <v>14.5</v>
      </c>
      <c r="V306">
        <v>15.9</v>
      </c>
      <c r="W306">
        <v>14.1</v>
      </c>
      <c r="X306">
        <v>11.3</v>
      </c>
      <c r="Y306">
        <v>11.3</v>
      </c>
      <c r="Z306">
        <v>11.4</v>
      </c>
      <c r="AA306">
        <v>11.2</v>
      </c>
      <c r="AB306">
        <v>13.7</v>
      </c>
    </row>
    <row r="307" spans="1:28" x14ac:dyDescent="0.25">
      <c r="A307" s="20" t="s">
        <v>1505</v>
      </c>
      <c r="B307">
        <v>8.5</v>
      </c>
      <c r="C307">
        <v>8.6999999999999993</v>
      </c>
      <c r="D307">
        <v>9</v>
      </c>
      <c r="E307">
        <v>8.4</v>
      </c>
      <c r="F307">
        <v>8.1999999999999993</v>
      </c>
      <c r="G307">
        <v>8.1999999999999993</v>
      </c>
      <c r="H307">
        <v>8.5</v>
      </c>
      <c r="I307">
        <v>7.7</v>
      </c>
      <c r="J307">
        <v>7</v>
      </c>
      <c r="K307">
        <v>7.2</v>
      </c>
      <c r="L307">
        <v>7.5</v>
      </c>
      <c r="M307">
        <v>7</v>
      </c>
      <c r="N307">
        <v>7</v>
      </c>
      <c r="O307">
        <v>7.2</v>
      </c>
      <c r="P307">
        <v>7.4</v>
      </c>
      <c r="Q307">
        <v>7.4</v>
      </c>
      <c r="R307">
        <v>6.9</v>
      </c>
      <c r="S307">
        <v>7.2</v>
      </c>
      <c r="T307">
        <v>7.4</v>
      </c>
      <c r="U307">
        <v>7.4</v>
      </c>
      <c r="V307">
        <v>7.1</v>
      </c>
      <c r="W307">
        <v>7.1</v>
      </c>
      <c r="X307">
        <v>6.6</v>
      </c>
      <c r="Y307">
        <v>8</v>
      </c>
      <c r="Z307">
        <v>8.1</v>
      </c>
      <c r="AA307">
        <v>7</v>
      </c>
      <c r="AB307">
        <v>7.3</v>
      </c>
    </row>
    <row r="308" spans="1:28" x14ac:dyDescent="0.25">
      <c r="A308" s="20" t="s">
        <v>1506</v>
      </c>
      <c r="B308">
        <v>7.2</v>
      </c>
      <c r="C308">
        <v>7.3</v>
      </c>
      <c r="D308">
        <v>7.9</v>
      </c>
      <c r="E308">
        <v>8.1999999999999993</v>
      </c>
      <c r="F308">
        <v>9.6999999999999993</v>
      </c>
      <c r="G308">
        <v>9.8000000000000007</v>
      </c>
      <c r="H308">
        <v>10.1</v>
      </c>
      <c r="I308">
        <v>9</v>
      </c>
      <c r="J308">
        <v>8.1999999999999993</v>
      </c>
      <c r="K308">
        <v>8.3000000000000007</v>
      </c>
      <c r="L308">
        <v>8.8000000000000007</v>
      </c>
      <c r="M308">
        <v>8</v>
      </c>
      <c r="N308">
        <v>7.3</v>
      </c>
      <c r="O308">
        <v>7.2</v>
      </c>
      <c r="P308">
        <v>6.9</v>
      </c>
      <c r="Q308">
        <v>6.6</v>
      </c>
      <c r="R308">
        <v>6.5</v>
      </c>
      <c r="S308">
        <v>6.3</v>
      </c>
      <c r="T308">
        <v>6.3</v>
      </c>
      <c r="U308">
        <v>6.4</v>
      </c>
      <c r="V308">
        <v>6.6</v>
      </c>
      <c r="W308">
        <v>6.4</v>
      </c>
      <c r="X308">
        <v>6.2</v>
      </c>
      <c r="Y308">
        <v>6.2</v>
      </c>
      <c r="Z308">
        <v>6.3</v>
      </c>
      <c r="AA308">
        <v>6.4</v>
      </c>
      <c r="AB308">
        <v>7.1</v>
      </c>
    </row>
    <row r="309" spans="1:28" x14ac:dyDescent="0.25">
      <c r="A309" s="20" t="s">
        <v>1507</v>
      </c>
      <c r="B309">
        <v>0.4</v>
      </c>
      <c r="C309">
        <v>0.4</v>
      </c>
      <c r="D309">
        <v>0.5</v>
      </c>
      <c r="E309">
        <v>0.6</v>
      </c>
      <c r="F309">
        <v>0.8</v>
      </c>
      <c r="G309">
        <v>0.9</v>
      </c>
      <c r="H309">
        <v>1</v>
      </c>
      <c r="I309">
        <v>1.1000000000000001</v>
      </c>
      <c r="J309">
        <v>1.2</v>
      </c>
      <c r="K309">
        <v>1.3</v>
      </c>
      <c r="L309">
        <v>1.5</v>
      </c>
      <c r="M309">
        <v>1.5</v>
      </c>
      <c r="N309">
        <v>1.5</v>
      </c>
      <c r="O309">
        <v>1.7</v>
      </c>
      <c r="P309">
        <v>1.9</v>
      </c>
      <c r="Q309">
        <v>1.9</v>
      </c>
      <c r="R309">
        <v>1.9</v>
      </c>
      <c r="S309">
        <v>2</v>
      </c>
      <c r="T309">
        <v>2</v>
      </c>
      <c r="U309">
        <v>1.9</v>
      </c>
      <c r="V309">
        <v>1.8</v>
      </c>
      <c r="W309">
        <v>1.9</v>
      </c>
      <c r="X309">
        <v>1.9</v>
      </c>
      <c r="Y309">
        <v>2</v>
      </c>
      <c r="Z309">
        <v>2.1</v>
      </c>
      <c r="AA309">
        <v>2.1</v>
      </c>
      <c r="AB309">
        <v>2.1</v>
      </c>
    </row>
    <row r="310" spans="1:28" x14ac:dyDescent="0.25">
      <c r="A310" s="30" t="s">
        <v>1508</v>
      </c>
      <c r="B310">
        <v>5.6</v>
      </c>
      <c r="C310">
        <v>5.5</v>
      </c>
      <c r="D310">
        <v>5.5</v>
      </c>
      <c r="E310">
        <v>5.4</v>
      </c>
      <c r="F310">
        <v>5.3</v>
      </c>
      <c r="G310">
        <v>5.2</v>
      </c>
      <c r="H310">
        <v>5</v>
      </c>
      <c r="I310">
        <v>4.8</v>
      </c>
      <c r="J310">
        <v>4.5999999999999996</v>
      </c>
      <c r="K310">
        <v>4</v>
      </c>
      <c r="L310">
        <v>3.7</v>
      </c>
      <c r="M310">
        <v>3.5</v>
      </c>
      <c r="N310">
        <v>3.2</v>
      </c>
      <c r="O310">
        <v>3</v>
      </c>
      <c r="P310">
        <v>2.9</v>
      </c>
      <c r="Q310">
        <v>2.8</v>
      </c>
      <c r="R310">
        <v>2.7</v>
      </c>
      <c r="S310">
        <v>2.5</v>
      </c>
      <c r="T310">
        <v>2.4</v>
      </c>
      <c r="U310">
        <v>2.2999999999999998</v>
      </c>
      <c r="V310">
        <v>2.2999999999999998</v>
      </c>
      <c r="W310">
        <v>2.2999999999999998</v>
      </c>
      <c r="X310">
        <v>2.2000000000000002</v>
      </c>
      <c r="Y310">
        <v>2.1</v>
      </c>
      <c r="Z310">
        <v>2.1</v>
      </c>
      <c r="AA310">
        <v>2</v>
      </c>
      <c r="AB310">
        <v>3.6</v>
      </c>
    </row>
    <row r="311" spans="1:28" x14ac:dyDescent="0.25">
      <c r="A311" s="20" t="s">
        <v>1509</v>
      </c>
      <c r="B311">
        <v>0.2</v>
      </c>
      <c r="C311">
        <v>0.2</v>
      </c>
      <c r="D311">
        <v>0.2</v>
      </c>
      <c r="E311">
        <v>0.2</v>
      </c>
      <c r="F311">
        <v>0.2</v>
      </c>
      <c r="G311">
        <v>0.2</v>
      </c>
      <c r="H311">
        <v>0.2</v>
      </c>
      <c r="I311">
        <v>0.2</v>
      </c>
      <c r="J311">
        <v>0.2</v>
      </c>
      <c r="K311">
        <v>0.2</v>
      </c>
      <c r="L311">
        <v>0.3</v>
      </c>
      <c r="M311">
        <v>0.2</v>
      </c>
      <c r="N311">
        <v>0.2</v>
      </c>
      <c r="O311">
        <v>0.3</v>
      </c>
      <c r="P311">
        <v>0.3</v>
      </c>
      <c r="Q311">
        <v>0.2</v>
      </c>
      <c r="R311">
        <v>0.3</v>
      </c>
      <c r="S311">
        <v>0.3</v>
      </c>
      <c r="T311">
        <v>0.3</v>
      </c>
      <c r="U311">
        <v>0.3</v>
      </c>
      <c r="V311">
        <v>0.3</v>
      </c>
      <c r="W311">
        <v>0.3</v>
      </c>
      <c r="X311">
        <v>0.3</v>
      </c>
      <c r="Y311">
        <v>0.3</v>
      </c>
      <c r="Z311">
        <v>0.3</v>
      </c>
      <c r="AA311">
        <v>0.3</v>
      </c>
      <c r="AB311">
        <v>0.3</v>
      </c>
    </row>
    <row r="312" spans="1:28" x14ac:dyDescent="0.25">
      <c r="A312" s="20" t="s">
        <v>1476</v>
      </c>
      <c r="B312">
        <v>0.2</v>
      </c>
      <c r="C312">
        <v>0.2</v>
      </c>
      <c r="D312">
        <v>0.2</v>
      </c>
      <c r="E312">
        <v>0.3</v>
      </c>
      <c r="F312">
        <v>0.3</v>
      </c>
      <c r="G312">
        <v>0.3</v>
      </c>
      <c r="H312">
        <v>0.3</v>
      </c>
      <c r="I312">
        <v>0.4</v>
      </c>
      <c r="J312">
        <v>0.3</v>
      </c>
      <c r="K312">
        <v>0.3</v>
      </c>
      <c r="L312">
        <v>0.3</v>
      </c>
      <c r="M312">
        <v>0.2</v>
      </c>
      <c r="N312">
        <v>0.2</v>
      </c>
      <c r="O312">
        <v>0.2</v>
      </c>
      <c r="P312">
        <v>0.2</v>
      </c>
      <c r="Q312">
        <v>0.1</v>
      </c>
      <c r="R312">
        <v>0</v>
      </c>
      <c r="S312">
        <v>0.1</v>
      </c>
      <c r="T312">
        <v>0</v>
      </c>
      <c r="U312">
        <v>0</v>
      </c>
      <c r="V312">
        <v>0</v>
      </c>
      <c r="W312">
        <v>0</v>
      </c>
      <c r="X312">
        <v>0.1</v>
      </c>
      <c r="Y312">
        <v>0.1</v>
      </c>
      <c r="Z312">
        <v>0.1</v>
      </c>
      <c r="AA312">
        <v>0.2</v>
      </c>
      <c r="AB312">
        <v>0.2</v>
      </c>
    </row>
    <row r="313" spans="1:28" x14ac:dyDescent="0.25">
      <c r="A313" s="20" t="s">
        <v>1487</v>
      </c>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row>
    <row r="314" spans="1:28" x14ac:dyDescent="0.25">
      <c r="A314" s="20" t="s">
        <v>1494</v>
      </c>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row>
    <row r="315" spans="1:28" ht="24" x14ac:dyDescent="0.25">
      <c r="A315" s="20" t="s">
        <v>1473</v>
      </c>
      <c r="B315">
        <v>0</v>
      </c>
      <c r="C315">
        <v>0</v>
      </c>
      <c r="D315">
        <v>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row>
    <row r="316" spans="1:28" x14ac:dyDescent="0.25">
      <c r="A316" s="20" t="s">
        <v>1480</v>
      </c>
      <c r="B316">
        <v>0</v>
      </c>
      <c r="C316">
        <v>0</v>
      </c>
      <c r="D316">
        <v>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row>
    <row r="317" spans="1:28" x14ac:dyDescent="0.25">
      <c r="A317" s="30" t="s">
        <v>1497</v>
      </c>
      <c r="B317">
        <v>0.2</v>
      </c>
      <c r="C317">
        <v>0.2</v>
      </c>
      <c r="D317">
        <v>0.2</v>
      </c>
      <c r="E317">
        <v>0.1</v>
      </c>
      <c r="F317">
        <v>0.1</v>
      </c>
      <c r="G317">
        <v>0.1</v>
      </c>
      <c r="H317">
        <v>0.1</v>
      </c>
      <c r="I317">
        <v>0.1</v>
      </c>
      <c r="J317">
        <v>0.1</v>
      </c>
      <c r="K317">
        <v>0.1</v>
      </c>
      <c r="L317">
        <v>0.1</v>
      </c>
      <c r="M317">
        <v>0.1</v>
      </c>
      <c r="N317">
        <v>0.1</v>
      </c>
      <c r="O317">
        <v>0.1</v>
      </c>
      <c r="P317">
        <v>0.1</v>
      </c>
      <c r="Q317">
        <v>0.1</v>
      </c>
      <c r="R317">
        <v>0.1</v>
      </c>
      <c r="S317">
        <v>0.1</v>
      </c>
      <c r="T317">
        <v>0.1</v>
      </c>
      <c r="U317">
        <v>0.1</v>
      </c>
      <c r="V317">
        <v>0.1</v>
      </c>
      <c r="W317">
        <v>0.1</v>
      </c>
      <c r="X317">
        <v>0.1</v>
      </c>
      <c r="Y317">
        <v>0.1</v>
      </c>
      <c r="Z317">
        <v>0.1</v>
      </c>
      <c r="AA317">
        <v>0.1</v>
      </c>
      <c r="AB317">
        <v>0.1</v>
      </c>
    </row>
    <row r="318" spans="1:28" x14ac:dyDescent="0.25">
      <c r="A318" s="30" t="s">
        <v>1510</v>
      </c>
      <c r="B318">
        <v>359.5</v>
      </c>
      <c r="C318">
        <v>358.7</v>
      </c>
      <c r="D318">
        <v>361.9</v>
      </c>
      <c r="E318">
        <v>373.9</v>
      </c>
      <c r="F318">
        <v>364.9</v>
      </c>
      <c r="G318">
        <v>377</v>
      </c>
      <c r="H318">
        <v>383.4</v>
      </c>
      <c r="I318">
        <v>374.2</v>
      </c>
      <c r="J318">
        <v>388.7</v>
      </c>
      <c r="K318">
        <v>363</v>
      </c>
      <c r="L318">
        <v>361.9</v>
      </c>
      <c r="M318">
        <v>363.8</v>
      </c>
      <c r="N318">
        <v>362.2</v>
      </c>
      <c r="O318">
        <v>366</v>
      </c>
      <c r="P318">
        <v>385.9</v>
      </c>
      <c r="Q318">
        <v>361.6</v>
      </c>
      <c r="R318">
        <v>371.1</v>
      </c>
      <c r="S318">
        <v>378.8</v>
      </c>
      <c r="T318">
        <v>361.6</v>
      </c>
      <c r="U318">
        <v>362.3</v>
      </c>
      <c r="V318">
        <v>370.5</v>
      </c>
      <c r="W318">
        <v>364</v>
      </c>
      <c r="X318">
        <v>340.7</v>
      </c>
      <c r="Y318">
        <v>335.5</v>
      </c>
      <c r="Z318">
        <v>335.5</v>
      </c>
      <c r="AA318">
        <v>334.8</v>
      </c>
      <c r="AB318">
        <v>369.5</v>
      </c>
    </row>
    <row r="319" spans="1:28" x14ac:dyDescent="0.25">
      <c r="A319" s="20" t="s">
        <v>1511</v>
      </c>
      <c r="B319">
        <v>256.60000000000002</v>
      </c>
      <c r="C319">
        <v>254.1</v>
      </c>
      <c r="D319">
        <v>255.7</v>
      </c>
      <c r="E319">
        <v>263.89999999999998</v>
      </c>
      <c r="F319">
        <v>251.5</v>
      </c>
      <c r="G319">
        <v>258.2</v>
      </c>
      <c r="H319">
        <v>262.8</v>
      </c>
      <c r="I319">
        <v>259.10000000000002</v>
      </c>
      <c r="J319">
        <v>277.5</v>
      </c>
      <c r="K319">
        <v>254.4</v>
      </c>
      <c r="L319">
        <v>252.8</v>
      </c>
      <c r="M319">
        <v>261.2</v>
      </c>
      <c r="N319">
        <v>258.89999999999998</v>
      </c>
      <c r="O319">
        <v>263.7</v>
      </c>
      <c r="P319">
        <v>286.60000000000002</v>
      </c>
      <c r="Q319">
        <v>259.8</v>
      </c>
      <c r="R319">
        <v>269.3</v>
      </c>
      <c r="S319">
        <v>277.10000000000002</v>
      </c>
      <c r="T319">
        <v>272.2</v>
      </c>
      <c r="U319">
        <v>276.39999999999998</v>
      </c>
      <c r="V319">
        <v>280.3</v>
      </c>
      <c r="W319">
        <v>270.10000000000002</v>
      </c>
      <c r="X319">
        <v>254.1</v>
      </c>
      <c r="Y319">
        <v>250.5</v>
      </c>
      <c r="Z319">
        <v>250</v>
      </c>
      <c r="AA319">
        <v>251.3</v>
      </c>
      <c r="AB319">
        <v>283.60000000000002</v>
      </c>
    </row>
    <row r="320" spans="1:28" x14ac:dyDescent="0.25">
      <c r="A320" s="20" t="s">
        <v>1505</v>
      </c>
      <c r="B320">
        <v>11.9</v>
      </c>
      <c r="C320">
        <v>11.8</v>
      </c>
      <c r="D320">
        <v>12</v>
      </c>
      <c r="E320">
        <v>12.3</v>
      </c>
      <c r="F320">
        <v>12.5</v>
      </c>
      <c r="G320">
        <v>12.6</v>
      </c>
      <c r="H320">
        <v>12.9</v>
      </c>
      <c r="I320">
        <v>13</v>
      </c>
      <c r="J320">
        <v>13</v>
      </c>
      <c r="K320">
        <v>13.2</v>
      </c>
      <c r="L320">
        <v>14</v>
      </c>
      <c r="M320">
        <v>14.4</v>
      </c>
      <c r="N320">
        <v>16</v>
      </c>
      <c r="O320">
        <v>17.3</v>
      </c>
      <c r="P320">
        <v>19</v>
      </c>
      <c r="Q320">
        <v>20.2</v>
      </c>
      <c r="R320">
        <v>20.399999999999999</v>
      </c>
      <c r="S320">
        <v>20.8</v>
      </c>
      <c r="T320">
        <v>20.8</v>
      </c>
      <c r="U320">
        <v>20.399999999999999</v>
      </c>
      <c r="V320">
        <v>22.2</v>
      </c>
      <c r="W320">
        <v>21.3</v>
      </c>
      <c r="X320">
        <v>21.4</v>
      </c>
      <c r="Y320">
        <v>22.9</v>
      </c>
      <c r="Z320">
        <v>23.4</v>
      </c>
      <c r="AA320">
        <v>23.1</v>
      </c>
      <c r="AB320">
        <v>18.600000000000001</v>
      </c>
    </row>
    <row r="321" spans="1:28" x14ac:dyDescent="0.25">
      <c r="A321" s="20" t="s">
        <v>1501</v>
      </c>
      <c r="B321">
        <v>14</v>
      </c>
      <c r="C321">
        <v>14.2</v>
      </c>
      <c r="D321">
        <v>14.2</v>
      </c>
      <c r="E321">
        <v>14</v>
      </c>
      <c r="F321">
        <v>14.8</v>
      </c>
      <c r="G321">
        <v>15.1</v>
      </c>
      <c r="H321">
        <v>15.1</v>
      </c>
      <c r="I321">
        <v>15.3</v>
      </c>
      <c r="J321">
        <v>15.5</v>
      </c>
      <c r="K321">
        <v>16.100000000000001</v>
      </c>
      <c r="L321">
        <v>16.5</v>
      </c>
      <c r="M321">
        <v>16.399999999999999</v>
      </c>
      <c r="N321">
        <v>16.7</v>
      </c>
      <c r="O321">
        <v>16.899999999999999</v>
      </c>
      <c r="P321">
        <v>16.2</v>
      </c>
      <c r="Q321">
        <v>16.5</v>
      </c>
      <c r="R321">
        <v>17.3</v>
      </c>
      <c r="S321">
        <v>17.399999999999999</v>
      </c>
      <c r="T321">
        <v>17.2</v>
      </c>
      <c r="U321">
        <v>17.100000000000001</v>
      </c>
      <c r="V321">
        <v>17.2</v>
      </c>
      <c r="W321">
        <v>17.399999999999999</v>
      </c>
      <c r="X321">
        <v>17.5</v>
      </c>
      <c r="Y321">
        <v>17.5</v>
      </c>
      <c r="Z321">
        <v>17.5</v>
      </c>
      <c r="AA321">
        <v>17.7</v>
      </c>
      <c r="AB321">
        <v>18.100000000000001</v>
      </c>
    </row>
    <row r="322" spans="1:28" x14ac:dyDescent="0.25">
      <c r="A322" s="30" t="s">
        <v>1508</v>
      </c>
      <c r="B322">
        <v>41.2</v>
      </c>
      <c r="C322">
        <v>43.1</v>
      </c>
      <c r="D322">
        <v>46.1</v>
      </c>
      <c r="E322">
        <v>48.1</v>
      </c>
      <c r="F322">
        <v>49.9</v>
      </c>
      <c r="G322">
        <v>51.2</v>
      </c>
      <c r="H322">
        <v>52.1</v>
      </c>
      <c r="I322">
        <v>52.9</v>
      </c>
      <c r="J322">
        <v>53.2</v>
      </c>
      <c r="K322">
        <v>50.5</v>
      </c>
      <c r="L322">
        <v>49.3</v>
      </c>
      <c r="M322">
        <v>46</v>
      </c>
      <c r="N322">
        <v>43.6</v>
      </c>
      <c r="O322">
        <v>41</v>
      </c>
      <c r="P322">
        <v>38.6</v>
      </c>
      <c r="Q322">
        <v>35.700000000000003</v>
      </c>
      <c r="R322">
        <v>33.5</v>
      </c>
      <c r="S322">
        <v>28.9</v>
      </c>
      <c r="T322">
        <v>26.6</v>
      </c>
      <c r="U322">
        <v>25</v>
      </c>
      <c r="V322">
        <v>24.1</v>
      </c>
      <c r="W322">
        <v>22.8</v>
      </c>
      <c r="X322">
        <v>20.399999999999999</v>
      </c>
      <c r="Y322">
        <v>18.5</v>
      </c>
      <c r="Z322">
        <v>16.600000000000001</v>
      </c>
      <c r="AA322">
        <v>15.1</v>
      </c>
      <c r="AB322">
        <v>18.399999999999999</v>
      </c>
    </row>
    <row r="323" spans="1:28" x14ac:dyDescent="0.25">
      <c r="A323" s="20" t="s">
        <v>1512</v>
      </c>
      <c r="B323">
        <v>12.1</v>
      </c>
      <c r="C323">
        <v>12.1</v>
      </c>
      <c r="D323">
        <v>12.4</v>
      </c>
      <c r="E323">
        <v>12.6</v>
      </c>
      <c r="F323">
        <v>13.3</v>
      </c>
      <c r="G323">
        <v>13.5</v>
      </c>
      <c r="H323">
        <v>14.1</v>
      </c>
      <c r="I323">
        <v>14.4</v>
      </c>
      <c r="J323">
        <v>14.2</v>
      </c>
      <c r="K323">
        <v>13.7</v>
      </c>
      <c r="L323">
        <v>13.3</v>
      </c>
      <c r="M323">
        <v>10.8</v>
      </c>
      <c r="N323">
        <v>11.7</v>
      </c>
      <c r="O323">
        <v>11</v>
      </c>
      <c r="P323">
        <v>10.9</v>
      </c>
      <c r="Q323">
        <v>11.3</v>
      </c>
      <c r="R323">
        <v>11.1</v>
      </c>
      <c r="S323">
        <v>13.2</v>
      </c>
      <c r="T323">
        <v>11.3</v>
      </c>
      <c r="U323">
        <v>9.6</v>
      </c>
      <c r="V323">
        <v>11.5</v>
      </c>
      <c r="W323">
        <v>10.9</v>
      </c>
      <c r="X323">
        <v>10.5</v>
      </c>
      <c r="Y323">
        <v>10.7</v>
      </c>
      <c r="Z323">
        <v>10.9</v>
      </c>
      <c r="AA323">
        <v>11.6</v>
      </c>
      <c r="AB323">
        <v>10.199999999999999</v>
      </c>
    </row>
    <row r="324" spans="1:28" x14ac:dyDescent="0.25">
      <c r="A324" s="20" t="s">
        <v>1503</v>
      </c>
      <c r="B324">
        <v>3.4</v>
      </c>
      <c r="C324">
        <v>3.5</v>
      </c>
      <c r="D324">
        <v>3.5</v>
      </c>
      <c r="E324">
        <v>3.6</v>
      </c>
      <c r="F324">
        <v>3.7</v>
      </c>
      <c r="G324">
        <v>3.7</v>
      </c>
      <c r="H324">
        <v>3.8</v>
      </c>
      <c r="I324">
        <v>3.8</v>
      </c>
      <c r="J324">
        <v>3.9</v>
      </c>
      <c r="K324">
        <v>4.0999999999999996</v>
      </c>
      <c r="L324">
        <v>4.0999999999999996</v>
      </c>
      <c r="M324">
        <v>4.0999999999999996</v>
      </c>
      <c r="N324">
        <v>4.2</v>
      </c>
      <c r="O324">
        <v>4.3</v>
      </c>
      <c r="P324">
        <v>4.4000000000000004</v>
      </c>
      <c r="Q324">
        <v>4.4000000000000004</v>
      </c>
      <c r="R324">
        <v>4.5</v>
      </c>
      <c r="S324">
        <v>4.5</v>
      </c>
      <c r="T324">
        <v>4.5</v>
      </c>
      <c r="U324">
        <v>4.5</v>
      </c>
      <c r="V324">
        <v>4.5</v>
      </c>
      <c r="W324">
        <v>4.8</v>
      </c>
      <c r="X324">
        <v>4.8</v>
      </c>
      <c r="Y324">
        <v>4.9000000000000004</v>
      </c>
      <c r="Z324">
        <v>4.9000000000000004</v>
      </c>
      <c r="AA324">
        <v>5</v>
      </c>
      <c r="AB324">
        <v>5</v>
      </c>
    </row>
    <row r="325" spans="1:28" x14ac:dyDescent="0.25">
      <c r="A325" s="20" t="s">
        <v>1513</v>
      </c>
      <c r="B325">
        <v>15.2</v>
      </c>
      <c r="C325">
        <v>14.9</v>
      </c>
      <c r="D325">
        <v>13</v>
      </c>
      <c r="E325">
        <v>13.9</v>
      </c>
      <c r="F325">
        <v>13.5</v>
      </c>
      <c r="G325">
        <v>16.899999999999999</v>
      </c>
      <c r="H325">
        <v>16.7</v>
      </c>
      <c r="I325">
        <v>9.4</v>
      </c>
      <c r="J325">
        <v>5.0999999999999996</v>
      </c>
      <c r="K325">
        <v>4.7</v>
      </c>
      <c r="L325">
        <v>5.3</v>
      </c>
      <c r="M325">
        <v>4.5</v>
      </c>
      <c r="N325">
        <v>4.9000000000000004</v>
      </c>
      <c r="O325">
        <v>5.5</v>
      </c>
      <c r="P325">
        <v>3.7</v>
      </c>
      <c r="Q325">
        <v>7.1</v>
      </c>
      <c r="R325">
        <v>8.6</v>
      </c>
      <c r="S325">
        <v>10.3</v>
      </c>
      <c r="T325">
        <v>2.5</v>
      </c>
      <c r="U325">
        <v>2.7</v>
      </c>
      <c r="V325">
        <v>4.2</v>
      </c>
      <c r="W325">
        <v>10.199999999999999</v>
      </c>
      <c r="X325">
        <v>5.5</v>
      </c>
      <c r="Y325">
        <v>3.9</v>
      </c>
      <c r="Z325">
        <v>5.4</v>
      </c>
      <c r="AA325">
        <v>4.3</v>
      </c>
      <c r="AB325">
        <v>7</v>
      </c>
    </row>
    <row r="326" spans="1:28" x14ac:dyDescent="0.25">
      <c r="A326" s="30" t="s">
        <v>1514</v>
      </c>
      <c r="B326">
        <v>4.2</v>
      </c>
      <c r="C326">
        <v>4.0999999999999996</v>
      </c>
      <c r="D326">
        <v>3.9</v>
      </c>
      <c r="E326">
        <v>4.4000000000000004</v>
      </c>
      <c r="F326">
        <v>4.4000000000000004</v>
      </c>
      <c r="G326">
        <v>4.4000000000000004</v>
      </c>
      <c r="H326">
        <v>4.4000000000000004</v>
      </c>
      <c r="I326">
        <v>4.7</v>
      </c>
      <c r="J326">
        <v>4.7</v>
      </c>
      <c r="K326">
        <v>4.7</v>
      </c>
      <c r="L326">
        <v>4.7</v>
      </c>
      <c r="M326">
        <v>4.7</v>
      </c>
      <c r="N326">
        <v>4.2</v>
      </c>
      <c r="O326">
        <v>4.2</v>
      </c>
      <c r="P326">
        <v>4.2</v>
      </c>
      <c r="Q326">
        <v>4.2</v>
      </c>
      <c r="R326">
        <v>4.2</v>
      </c>
      <c r="S326">
        <v>4.2</v>
      </c>
      <c r="T326">
        <v>4.2</v>
      </c>
      <c r="U326">
        <v>4.2</v>
      </c>
      <c r="V326">
        <v>4.2</v>
      </c>
      <c r="W326">
        <v>4.2</v>
      </c>
      <c r="X326">
        <v>4.2</v>
      </c>
      <c r="Y326">
        <v>4.2</v>
      </c>
      <c r="Z326">
        <v>4.2</v>
      </c>
      <c r="AA326">
        <v>4.2</v>
      </c>
      <c r="AB326">
        <v>4.2</v>
      </c>
    </row>
    <row r="327" spans="1:28" x14ac:dyDescent="0.25">
      <c r="A327" s="20" t="s">
        <v>1507</v>
      </c>
      <c r="B327">
        <v>0.3</v>
      </c>
      <c r="C327">
        <v>0.4</v>
      </c>
      <c r="D327">
        <v>0.4</v>
      </c>
      <c r="E327">
        <v>0.6</v>
      </c>
      <c r="F327">
        <v>0.7</v>
      </c>
      <c r="G327">
        <v>0.8</v>
      </c>
      <c r="H327">
        <v>0.9</v>
      </c>
      <c r="I327">
        <v>1</v>
      </c>
      <c r="J327">
        <v>1.1000000000000001</v>
      </c>
      <c r="K327">
        <v>1.2</v>
      </c>
      <c r="L327">
        <v>1.3</v>
      </c>
      <c r="M327">
        <v>1.3</v>
      </c>
      <c r="N327">
        <v>1.4</v>
      </c>
      <c r="O327">
        <v>1.5</v>
      </c>
      <c r="P327">
        <v>1.7</v>
      </c>
      <c r="Q327">
        <v>1.7</v>
      </c>
      <c r="R327">
        <v>1.7</v>
      </c>
      <c r="S327">
        <v>1.8</v>
      </c>
      <c r="T327">
        <v>1.8</v>
      </c>
      <c r="U327">
        <v>1.7</v>
      </c>
      <c r="V327">
        <v>1.6</v>
      </c>
      <c r="W327">
        <v>1.7</v>
      </c>
      <c r="X327">
        <v>1.7</v>
      </c>
      <c r="Y327">
        <v>1.8</v>
      </c>
      <c r="Z327">
        <v>1.9</v>
      </c>
      <c r="AA327">
        <v>1.9</v>
      </c>
      <c r="AB327">
        <v>1.9</v>
      </c>
    </row>
    <row r="328" spans="1:28" x14ac:dyDescent="0.25">
      <c r="A328" s="20" t="s">
        <v>1480</v>
      </c>
      <c r="B328">
        <v>0.5</v>
      </c>
      <c r="C328">
        <v>0.4</v>
      </c>
      <c r="D328">
        <v>0.4</v>
      </c>
      <c r="E328">
        <v>0.4</v>
      </c>
      <c r="F328">
        <v>0.4</v>
      </c>
      <c r="G328">
        <v>0.4</v>
      </c>
      <c r="H328">
        <v>0.4</v>
      </c>
      <c r="I328">
        <v>0.4</v>
      </c>
      <c r="J328">
        <v>0.4</v>
      </c>
      <c r="K328">
        <v>0.4</v>
      </c>
      <c r="L328">
        <v>0.4</v>
      </c>
      <c r="M328">
        <v>0.4</v>
      </c>
      <c r="N328">
        <v>0.4</v>
      </c>
      <c r="O328">
        <v>0.4</v>
      </c>
      <c r="P328">
        <v>0.4</v>
      </c>
      <c r="Q328">
        <v>0.4</v>
      </c>
      <c r="R328">
        <v>0.4</v>
      </c>
      <c r="S328">
        <v>0.4</v>
      </c>
      <c r="T328">
        <v>0.4</v>
      </c>
      <c r="U328">
        <v>0.3</v>
      </c>
      <c r="V328">
        <v>0.3</v>
      </c>
      <c r="W328">
        <v>0.3</v>
      </c>
      <c r="X328">
        <v>0.3</v>
      </c>
      <c r="Y328">
        <v>0.3</v>
      </c>
      <c r="Z328">
        <v>0.3</v>
      </c>
      <c r="AA328">
        <v>0.3</v>
      </c>
      <c r="AB328">
        <v>0.3</v>
      </c>
    </row>
    <row r="329" spans="1:28" x14ac:dyDescent="0.25">
      <c r="A329" s="20" t="s">
        <v>1515</v>
      </c>
      <c r="B329">
        <v>0</v>
      </c>
      <c r="C329">
        <v>0</v>
      </c>
      <c r="D329">
        <v>0</v>
      </c>
      <c r="E329">
        <v>0</v>
      </c>
      <c r="F329">
        <v>0</v>
      </c>
      <c r="G329">
        <v>0.1</v>
      </c>
      <c r="H329">
        <v>0.1</v>
      </c>
      <c r="I329">
        <v>0.1</v>
      </c>
      <c r="J329">
        <v>0.1</v>
      </c>
      <c r="K329">
        <v>0.1</v>
      </c>
      <c r="L329">
        <v>0.1</v>
      </c>
      <c r="M329">
        <v>0.1</v>
      </c>
      <c r="N329">
        <v>0.1</v>
      </c>
      <c r="O329">
        <v>0.1</v>
      </c>
      <c r="P329">
        <v>0.1</v>
      </c>
      <c r="Q329">
        <v>0.1</v>
      </c>
      <c r="R329">
        <v>0.2</v>
      </c>
      <c r="S329">
        <v>0.2</v>
      </c>
      <c r="T329">
        <v>0.2</v>
      </c>
      <c r="U329">
        <v>0.1</v>
      </c>
      <c r="V329">
        <v>0.1</v>
      </c>
      <c r="W329">
        <v>0.2</v>
      </c>
      <c r="X329">
        <v>0.2</v>
      </c>
      <c r="Y329">
        <v>0.2</v>
      </c>
      <c r="Z329">
        <v>0.2</v>
      </c>
      <c r="AA329">
        <v>0.2</v>
      </c>
      <c r="AB329">
        <v>0.2</v>
      </c>
    </row>
    <row r="330" spans="1:28" x14ac:dyDescent="0.25">
      <c r="A330" s="20" t="s">
        <v>1509</v>
      </c>
      <c r="B330">
        <v>0.1</v>
      </c>
      <c r="C330">
        <v>0.1</v>
      </c>
      <c r="D330">
        <v>0.1</v>
      </c>
      <c r="E330">
        <v>0.1</v>
      </c>
      <c r="F330">
        <v>0.1</v>
      </c>
      <c r="G330">
        <v>0.1</v>
      </c>
      <c r="H330">
        <v>0.1</v>
      </c>
      <c r="I330">
        <v>0.1</v>
      </c>
      <c r="J330">
        <v>0.1</v>
      </c>
      <c r="K330">
        <v>0.1</v>
      </c>
      <c r="L330">
        <v>0.1</v>
      </c>
      <c r="M330">
        <v>0.1</v>
      </c>
      <c r="N330">
        <v>0.1</v>
      </c>
      <c r="O330">
        <v>0.1</v>
      </c>
      <c r="P330">
        <v>0.1</v>
      </c>
      <c r="Q330">
        <v>0.1</v>
      </c>
      <c r="R330">
        <v>0.1</v>
      </c>
      <c r="S330">
        <v>0.1</v>
      </c>
      <c r="T330">
        <v>0.1</v>
      </c>
      <c r="U330">
        <v>0.1</v>
      </c>
      <c r="V330">
        <v>0.1</v>
      </c>
      <c r="W330">
        <v>0.1</v>
      </c>
      <c r="X330">
        <v>0.1</v>
      </c>
      <c r="Y330">
        <v>0.1</v>
      </c>
      <c r="Z330">
        <v>0.1</v>
      </c>
      <c r="AA330">
        <v>0.1</v>
      </c>
      <c r="AB330">
        <v>0.1</v>
      </c>
    </row>
    <row r="331" spans="1:28" x14ac:dyDescent="0.25">
      <c r="A331" s="30" t="s">
        <v>1497</v>
      </c>
      <c r="B331">
        <v>0.9</v>
      </c>
      <c r="C331">
        <v>1</v>
      </c>
      <c r="D331">
        <v>0.9</v>
      </c>
      <c r="E331">
        <v>0.8</v>
      </c>
      <c r="F331">
        <v>0.8</v>
      </c>
      <c r="G331">
        <v>0.8</v>
      </c>
      <c r="H331">
        <v>0.9</v>
      </c>
      <c r="I331">
        <v>0.9</v>
      </c>
      <c r="J331">
        <v>0.9</v>
      </c>
      <c r="K331">
        <v>0.9</v>
      </c>
      <c r="L331">
        <v>0.9</v>
      </c>
      <c r="M331">
        <v>0.8</v>
      </c>
      <c r="N331">
        <v>0.8</v>
      </c>
      <c r="O331">
        <v>0.9</v>
      </c>
      <c r="P331">
        <v>0.9</v>
      </c>
      <c r="Q331">
        <v>1</v>
      </c>
      <c r="R331">
        <v>1</v>
      </c>
      <c r="S331">
        <v>1</v>
      </c>
      <c r="T331">
        <v>1</v>
      </c>
      <c r="U331">
        <v>0.9</v>
      </c>
      <c r="V331">
        <v>1</v>
      </c>
      <c r="W331">
        <v>1</v>
      </c>
      <c r="X331">
        <v>0.9</v>
      </c>
      <c r="Y331">
        <v>0.9</v>
      </c>
      <c r="Z331">
        <v>0.9</v>
      </c>
      <c r="AA331">
        <v>0.9</v>
      </c>
      <c r="AB331">
        <v>1</v>
      </c>
    </row>
    <row r="332" spans="1:28" x14ac:dyDescent="0.25">
      <c r="A332" s="331" t="s">
        <v>1516</v>
      </c>
      <c r="B332">
        <v>46.6</v>
      </c>
      <c r="C332">
        <v>42.2</v>
      </c>
      <c r="D332">
        <v>48</v>
      </c>
      <c r="E332">
        <v>48.1</v>
      </c>
      <c r="F332">
        <v>53.8</v>
      </c>
      <c r="G332">
        <v>73</v>
      </c>
      <c r="H332">
        <v>82.7</v>
      </c>
      <c r="I332">
        <v>93</v>
      </c>
      <c r="J332">
        <v>112.1</v>
      </c>
      <c r="K332">
        <v>108.9</v>
      </c>
      <c r="L332">
        <v>113.7</v>
      </c>
      <c r="M332">
        <v>108.9</v>
      </c>
      <c r="N332">
        <v>115.5</v>
      </c>
      <c r="O332">
        <v>107.9</v>
      </c>
      <c r="P332">
        <v>117.7</v>
      </c>
      <c r="Q332">
        <v>120</v>
      </c>
      <c r="R332">
        <v>124.4</v>
      </c>
      <c r="S332">
        <v>136.1</v>
      </c>
      <c r="T332">
        <v>140.6</v>
      </c>
      <c r="U332">
        <v>139.4</v>
      </c>
      <c r="V332">
        <v>149.5</v>
      </c>
      <c r="W332">
        <v>154.30000000000001</v>
      </c>
      <c r="X332">
        <v>155.9</v>
      </c>
      <c r="Y332">
        <v>159</v>
      </c>
      <c r="Z332">
        <v>166.7</v>
      </c>
      <c r="AA332">
        <v>173.2</v>
      </c>
      <c r="AB332">
        <v>162.30000000000001</v>
      </c>
    </row>
    <row r="333" spans="1:28" x14ac:dyDescent="0.25">
      <c r="A333" s="30" t="s">
        <v>1517</v>
      </c>
      <c r="B333">
        <v>0.3</v>
      </c>
      <c r="C333">
        <v>0.6</v>
      </c>
      <c r="D333">
        <v>1.8</v>
      </c>
      <c r="E333">
        <v>5.9</v>
      </c>
      <c r="F333">
        <v>13.6</v>
      </c>
      <c r="G333">
        <v>30.9</v>
      </c>
      <c r="H333">
        <v>42.9</v>
      </c>
      <c r="I333">
        <v>54.5</v>
      </c>
      <c r="J333">
        <v>61.7</v>
      </c>
      <c r="K333">
        <v>69.900000000000006</v>
      </c>
      <c r="L333">
        <v>77.2</v>
      </c>
      <c r="M333">
        <v>83.7</v>
      </c>
      <c r="N333">
        <v>88.6</v>
      </c>
      <c r="O333">
        <v>92.1</v>
      </c>
      <c r="P333">
        <v>95.7</v>
      </c>
      <c r="Q333">
        <v>99.7</v>
      </c>
      <c r="R333">
        <v>106.6</v>
      </c>
      <c r="S333">
        <v>114.3</v>
      </c>
      <c r="T333">
        <v>123.1</v>
      </c>
      <c r="U333">
        <v>132.5</v>
      </c>
      <c r="V333">
        <v>141.19999999999999</v>
      </c>
      <c r="W333">
        <v>145.30000000000001</v>
      </c>
      <c r="X333">
        <v>150.19999999999999</v>
      </c>
      <c r="Y333">
        <v>154.6</v>
      </c>
      <c r="Z333">
        <v>161.30000000000001</v>
      </c>
      <c r="AA333">
        <v>168.5</v>
      </c>
      <c r="AB333">
        <v>159.1</v>
      </c>
    </row>
    <row r="334" spans="1:28" x14ac:dyDescent="0.25">
      <c r="A334" s="20" t="s">
        <v>1518</v>
      </c>
      <c r="B334">
        <v>46.1</v>
      </c>
      <c r="C334">
        <v>41.4</v>
      </c>
      <c r="D334">
        <v>46</v>
      </c>
      <c r="E334">
        <v>41.9</v>
      </c>
      <c r="F334">
        <v>39.9</v>
      </c>
      <c r="G334">
        <v>41.7</v>
      </c>
      <c r="H334">
        <v>39.4</v>
      </c>
      <c r="I334">
        <v>38.1</v>
      </c>
      <c r="J334">
        <v>49.9</v>
      </c>
      <c r="K334">
        <v>38.5</v>
      </c>
      <c r="L334">
        <v>36.200000000000003</v>
      </c>
      <c r="M334">
        <v>25</v>
      </c>
      <c r="N334">
        <v>26.7</v>
      </c>
      <c r="O334">
        <v>15.6</v>
      </c>
      <c r="P334">
        <v>21.8</v>
      </c>
      <c r="Q334">
        <v>20</v>
      </c>
      <c r="R334">
        <v>17.5</v>
      </c>
      <c r="S334">
        <v>21.5</v>
      </c>
      <c r="T334">
        <v>17.2</v>
      </c>
      <c r="U334">
        <v>6.8</v>
      </c>
      <c r="V334">
        <v>8</v>
      </c>
      <c r="W334">
        <v>8.8000000000000007</v>
      </c>
      <c r="X334">
        <v>5.5</v>
      </c>
      <c r="Y334">
        <v>4.0999999999999996</v>
      </c>
      <c r="Z334">
        <v>5</v>
      </c>
      <c r="AA334">
        <v>4.3</v>
      </c>
      <c r="AB334">
        <v>2.8</v>
      </c>
    </row>
    <row r="335" spans="1:28" x14ac:dyDescent="0.25">
      <c r="A335" s="20" t="s">
        <v>1515</v>
      </c>
      <c r="B335">
        <v>0.2</v>
      </c>
      <c r="C335">
        <v>0.2</v>
      </c>
      <c r="D335">
        <v>0.2</v>
      </c>
      <c r="E335">
        <v>0.3</v>
      </c>
      <c r="F335">
        <v>0.3</v>
      </c>
      <c r="G335">
        <v>0.4</v>
      </c>
      <c r="H335">
        <v>0.4</v>
      </c>
      <c r="I335">
        <v>0.4</v>
      </c>
      <c r="J335">
        <v>0.5</v>
      </c>
      <c r="K335">
        <v>0.5</v>
      </c>
      <c r="L335">
        <v>0.3</v>
      </c>
      <c r="M335">
        <v>0.2</v>
      </c>
      <c r="N335">
        <v>0.2</v>
      </c>
      <c r="O335">
        <v>0.2</v>
      </c>
      <c r="P335">
        <v>0.2</v>
      </c>
      <c r="Q335">
        <v>0.2</v>
      </c>
      <c r="R335">
        <v>0.2</v>
      </c>
      <c r="S335">
        <v>0.2</v>
      </c>
      <c r="T335">
        <v>0.2</v>
      </c>
      <c r="U335">
        <v>0.2</v>
      </c>
      <c r="V335">
        <v>0.2</v>
      </c>
      <c r="W335">
        <v>0.2</v>
      </c>
      <c r="X335">
        <v>0.2</v>
      </c>
      <c r="Y335">
        <v>0.2</v>
      </c>
      <c r="Z335">
        <v>0.3</v>
      </c>
      <c r="AA335">
        <v>0.3</v>
      </c>
      <c r="AB335">
        <v>0.3</v>
      </c>
    </row>
    <row r="336" spans="1:28" x14ac:dyDescent="0.25">
      <c r="A336" s="20" t="s">
        <v>1495</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0.1</v>
      </c>
      <c r="Z336">
        <v>0.1</v>
      </c>
      <c r="AA336">
        <v>0.1</v>
      </c>
      <c r="AB336">
        <v>0.1</v>
      </c>
    </row>
    <row r="337" spans="1:28" x14ac:dyDescent="0.25">
      <c r="A337" s="331" t="s">
        <v>1519</v>
      </c>
      <c r="B337">
        <v>24.3</v>
      </c>
      <c r="C337">
        <v>20.9</v>
      </c>
      <c r="D337">
        <v>19.5</v>
      </c>
      <c r="E337">
        <v>19.5</v>
      </c>
      <c r="F337">
        <v>18</v>
      </c>
      <c r="G337">
        <v>18.600000000000001</v>
      </c>
      <c r="H337">
        <v>19.899999999999999</v>
      </c>
      <c r="I337">
        <v>18.3</v>
      </c>
      <c r="J337">
        <v>17</v>
      </c>
      <c r="K337">
        <v>16.899999999999999</v>
      </c>
      <c r="L337">
        <v>15.9</v>
      </c>
      <c r="M337">
        <v>8.1999999999999993</v>
      </c>
      <c r="N337">
        <v>10.199999999999999</v>
      </c>
      <c r="O337">
        <v>8.1999999999999993</v>
      </c>
      <c r="P337">
        <v>6.8</v>
      </c>
      <c r="Q337">
        <v>6.7</v>
      </c>
      <c r="R337">
        <v>6.4</v>
      </c>
      <c r="S337">
        <v>7.8</v>
      </c>
      <c r="T337">
        <v>6.1</v>
      </c>
      <c r="U337">
        <v>3.9</v>
      </c>
      <c r="V337">
        <v>4.5999999999999996</v>
      </c>
      <c r="W337">
        <v>6.9</v>
      </c>
      <c r="X337">
        <v>6</v>
      </c>
      <c r="Y337">
        <v>5.8</v>
      </c>
      <c r="Z337">
        <v>5.8</v>
      </c>
      <c r="AA337">
        <v>5.2</v>
      </c>
      <c r="AB337">
        <v>4.3</v>
      </c>
    </row>
    <row r="338" spans="1:28" x14ac:dyDescent="0.25">
      <c r="A338" s="20" t="s">
        <v>1515</v>
      </c>
      <c r="B338">
        <v>2.8</v>
      </c>
      <c r="C338">
        <v>2.8</v>
      </c>
      <c r="D338">
        <v>2.8</v>
      </c>
      <c r="E338">
        <v>3.5</v>
      </c>
      <c r="F338">
        <v>3.9</v>
      </c>
      <c r="G338">
        <v>4.9000000000000004</v>
      </c>
      <c r="H338">
        <v>5.4</v>
      </c>
      <c r="I338">
        <v>5.7</v>
      </c>
      <c r="J338">
        <v>7</v>
      </c>
      <c r="K338">
        <v>7.1</v>
      </c>
      <c r="L338">
        <v>6</v>
      </c>
      <c r="M338">
        <v>4.2</v>
      </c>
      <c r="N338">
        <v>4.0999999999999996</v>
      </c>
      <c r="O338">
        <v>3.8</v>
      </c>
      <c r="P338">
        <v>3.5</v>
      </c>
      <c r="Q338">
        <v>3.2</v>
      </c>
      <c r="R338">
        <v>3.4</v>
      </c>
      <c r="S338">
        <v>3.3</v>
      </c>
      <c r="T338">
        <v>3</v>
      </c>
      <c r="U338">
        <v>2.1</v>
      </c>
      <c r="V338">
        <v>2.7</v>
      </c>
      <c r="W338">
        <v>3.4</v>
      </c>
      <c r="X338">
        <v>3</v>
      </c>
      <c r="Y338">
        <v>2.8</v>
      </c>
      <c r="Z338">
        <v>3.2</v>
      </c>
      <c r="AA338">
        <v>3.2</v>
      </c>
      <c r="AB338">
        <v>3</v>
      </c>
    </row>
    <row r="339" spans="1:28" x14ac:dyDescent="0.25">
      <c r="A339" s="20" t="s">
        <v>1486</v>
      </c>
      <c r="B339">
        <v>21.5</v>
      </c>
      <c r="C339">
        <v>18.100000000000001</v>
      </c>
      <c r="D339">
        <v>16.7</v>
      </c>
      <c r="E339">
        <v>16</v>
      </c>
      <c r="F339">
        <v>14.1</v>
      </c>
      <c r="G339">
        <v>13.8</v>
      </c>
      <c r="H339">
        <v>14.5</v>
      </c>
      <c r="I339">
        <v>12.6</v>
      </c>
      <c r="J339">
        <v>10</v>
      </c>
      <c r="K339">
        <v>9.8000000000000007</v>
      </c>
      <c r="L339">
        <v>9.9</v>
      </c>
      <c r="M339">
        <v>4</v>
      </c>
      <c r="N339">
        <v>6.1</v>
      </c>
      <c r="O339">
        <v>4.4000000000000004</v>
      </c>
      <c r="P339">
        <v>3.3</v>
      </c>
      <c r="Q339">
        <v>3.4</v>
      </c>
      <c r="R339">
        <v>2.9</v>
      </c>
      <c r="S339">
        <v>4.5</v>
      </c>
      <c r="T339">
        <v>3.2</v>
      </c>
      <c r="U339">
        <v>1.9</v>
      </c>
      <c r="V339">
        <v>1.9</v>
      </c>
      <c r="W339">
        <v>3.5</v>
      </c>
      <c r="X339">
        <v>2.9</v>
      </c>
      <c r="Y339">
        <v>3</v>
      </c>
      <c r="Z339">
        <v>2.5</v>
      </c>
      <c r="AA339">
        <v>2</v>
      </c>
      <c r="AB339">
        <v>1.4</v>
      </c>
    </row>
    <row r="340" spans="1:28" x14ac:dyDescent="0.25">
      <c r="A340" s="20" t="s">
        <v>1520</v>
      </c>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row>
    <row r="341" spans="1:28" x14ac:dyDescent="0.25">
      <c r="A341" s="30" t="s">
        <v>1521</v>
      </c>
      <c r="B341">
        <v>28.8</v>
      </c>
      <c r="C341">
        <v>27.6</v>
      </c>
      <c r="D341">
        <v>27.8</v>
      </c>
      <c r="E341">
        <v>27.3</v>
      </c>
      <c r="F341">
        <v>26</v>
      </c>
      <c r="G341">
        <v>24.8</v>
      </c>
      <c r="H341">
        <v>24.3</v>
      </c>
      <c r="I341">
        <v>22.6</v>
      </c>
      <c r="J341">
        <v>19.899999999999999</v>
      </c>
      <c r="K341">
        <v>19.600000000000001</v>
      </c>
      <c r="L341">
        <v>16.600000000000001</v>
      </c>
      <c r="M341">
        <v>15.4</v>
      </c>
      <c r="N341">
        <v>14.3</v>
      </c>
      <c r="O341">
        <v>13.8</v>
      </c>
      <c r="P341">
        <v>12.4</v>
      </c>
      <c r="Q341">
        <v>11.7</v>
      </c>
      <c r="R341">
        <v>10.4</v>
      </c>
      <c r="S341">
        <v>9.1999999999999993</v>
      </c>
      <c r="T341">
        <v>8.3000000000000007</v>
      </c>
      <c r="U341">
        <v>7.9</v>
      </c>
      <c r="V341">
        <v>8.4</v>
      </c>
      <c r="W341">
        <v>9.1999999999999993</v>
      </c>
      <c r="X341">
        <v>6.8</v>
      </c>
      <c r="Y341">
        <v>6.4</v>
      </c>
      <c r="Z341">
        <v>6.6</v>
      </c>
      <c r="AA341">
        <v>5.8</v>
      </c>
      <c r="AB341">
        <v>6.2</v>
      </c>
    </row>
    <row r="342" spans="1:28" x14ac:dyDescent="0.25">
      <c r="A342" s="20" t="s">
        <v>1522</v>
      </c>
      <c r="B342">
        <v>23.1</v>
      </c>
      <c r="C342">
        <v>22.1</v>
      </c>
      <c r="D342">
        <v>22.1</v>
      </c>
      <c r="E342">
        <v>21.4</v>
      </c>
      <c r="F342">
        <v>20.2</v>
      </c>
      <c r="G342">
        <v>18.600000000000001</v>
      </c>
      <c r="H342">
        <v>17</v>
      </c>
      <c r="I342">
        <v>15.6</v>
      </c>
      <c r="J342">
        <v>13.3</v>
      </c>
      <c r="K342">
        <v>13.6</v>
      </c>
      <c r="L342">
        <v>12.7</v>
      </c>
      <c r="M342">
        <v>12</v>
      </c>
      <c r="N342">
        <v>10.9</v>
      </c>
      <c r="O342">
        <v>9.9</v>
      </c>
      <c r="P342">
        <v>9.1</v>
      </c>
      <c r="Q342">
        <v>8.3000000000000007</v>
      </c>
      <c r="R342">
        <v>6.9</v>
      </c>
      <c r="S342">
        <v>6.2</v>
      </c>
      <c r="T342">
        <v>6.1</v>
      </c>
      <c r="U342">
        <v>6</v>
      </c>
      <c r="V342">
        <v>5.9</v>
      </c>
      <c r="W342">
        <v>6</v>
      </c>
      <c r="X342">
        <v>4.8</v>
      </c>
      <c r="Y342">
        <v>4.5999999999999996</v>
      </c>
      <c r="Z342">
        <v>4.8</v>
      </c>
      <c r="AA342">
        <v>4.2</v>
      </c>
      <c r="AB342">
        <v>4.3</v>
      </c>
    </row>
    <row r="343" spans="1:28" x14ac:dyDescent="0.25">
      <c r="A343" s="20" t="s">
        <v>1495</v>
      </c>
      <c r="B343">
        <v>5.2</v>
      </c>
      <c r="C343">
        <v>4.9000000000000004</v>
      </c>
      <c r="D343">
        <v>5.2</v>
      </c>
      <c r="E343">
        <v>5.3</v>
      </c>
      <c r="F343">
        <v>5.2</v>
      </c>
      <c r="G343">
        <v>5.4</v>
      </c>
      <c r="H343">
        <v>6.3</v>
      </c>
      <c r="I343">
        <v>6</v>
      </c>
      <c r="J343">
        <v>5.4</v>
      </c>
      <c r="K343">
        <v>4.8</v>
      </c>
      <c r="L343">
        <v>2.9</v>
      </c>
      <c r="M343">
        <v>2.7</v>
      </c>
      <c r="N343">
        <v>2.8</v>
      </c>
      <c r="O343">
        <v>3.3</v>
      </c>
      <c r="P343">
        <v>2.7</v>
      </c>
      <c r="Q343">
        <v>2.7</v>
      </c>
      <c r="R343">
        <v>2.8</v>
      </c>
      <c r="S343">
        <v>2.5</v>
      </c>
      <c r="T343">
        <v>1.8</v>
      </c>
      <c r="U343">
        <v>1.6</v>
      </c>
      <c r="V343">
        <v>2.1</v>
      </c>
      <c r="W343">
        <v>2.8</v>
      </c>
      <c r="X343">
        <v>1.6</v>
      </c>
      <c r="Y343">
        <v>1.5</v>
      </c>
      <c r="Z343">
        <v>1</v>
      </c>
      <c r="AA343">
        <v>0.9</v>
      </c>
      <c r="AB343">
        <v>1</v>
      </c>
    </row>
    <row r="344" spans="1:28" x14ac:dyDescent="0.25">
      <c r="A344" s="20" t="s">
        <v>1515</v>
      </c>
      <c r="B344">
        <v>0.5</v>
      </c>
      <c r="C344">
        <v>0.5</v>
      </c>
      <c r="D344">
        <v>0.5</v>
      </c>
      <c r="E344">
        <v>0.6</v>
      </c>
      <c r="F344">
        <v>0.7</v>
      </c>
      <c r="G344">
        <v>0.9</v>
      </c>
      <c r="H344">
        <v>1</v>
      </c>
      <c r="I344">
        <v>1</v>
      </c>
      <c r="J344">
        <v>1.2</v>
      </c>
      <c r="K344">
        <v>1.3</v>
      </c>
      <c r="L344">
        <v>1</v>
      </c>
      <c r="M344">
        <v>0.7</v>
      </c>
      <c r="N344">
        <v>0.6</v>
      </c>
      <c r="O344">
        <v>0.7</v>
      </c>
      <c r="P344">
        <v>0.7</v>
      </c>
      <c r="Q344">
        <v>0.7</v>
      </c>
      <c r="R344">
        <v>0.7</v>
      </c>
      <c r="S344">
        <v>0.5</v>
      </c>
      <c r="T344">
        <v>0.4</v>
      </c>
      <c r="U344">
        <v>0.3</v>
      </c>
      <c r="V344">
        <v>0.4</v>
      </c>
      <c r="W344">
        <v>0.4</v>
      </c>
      <c r="X344">
        <v>0.4</v>
      </c>
      <c r="Y344">
        <v>0.4</v>
      </c>
      <c r="Z344">
        <v>0.7</v>
      </c>
      <c r="AA344">
        <v>0.7</v>
      </c>
      <c r="AB344">
        <v>0.8</v>
      </c>
    </row>
    <row r="345" spans="1:28" x14ac:dyDescent="0.25">
      <c r="A345" s="30" t="s">
        <v>1523</v>
      </c>
      <c r="B345">
        <v>0</v>
      </c>
      <c r="C345">
        <v>0</v>
      </c>
      <c r="D345">
        <v>0</v>
      </c>
      <c r="E345">
        <v>0.1</v>
      </c>
      <c r="F345">
        <v>0.1</v>
      </c>
      <c r="G345">
        <v>0.1</v>
      </c>
      <c r="H345">
        <v>0.1</v>
      </c>
      <c r="I345">
        <v>0.1</v>
      </c>
      <c r="J345">
        <v>0.1</v>
      </c>
      <c r="K345">
        <v>0.1</v>
      </c>
      <c r="L345">
        <v>0.2</v>
      </c>
      <c r="M345">
        <v>0.2</v>
      </c>
      <c r="N345">
        <v>0.6</v>
      </c>
      <c r="O345">
        <v>0.5</v>
      </c>
      <c r="P345">
        <v>0.5</v>
      </c>
      <c r="Q345">
        <v>0.5</v>
      </c>
      <c r="R345">
        <v>0.7</v>
      </c>
      <c r="S345">
        <v>0.6</v>
      </c>
      <c r="T345">
        <v>0.6</v>
      </c>
      <c r="U345">
        <v>0.5</v>
      </c>
      <c r="V345">
        <v>0.5</v>
      </c>
      <c r="W345">
        <v>0.7</v>
      </c>
      <c r="X345">
        <v>0.6</v>
      </c>
      <c r="Y345">
        <v>0.6</v>
      </c>
      <c r="Z345">
        <v>0.5</v>
      </c>
      <c r="AA345">
        <v>0.6</v>
      </c>
      <c r="AB345">
        <v>0.6</v>
      </c>
    </row>
    <row r="346" spans="1:28" x14ac:dyDescent="0.25">
      <c r="A346" s="21" t="s">
        <v>1515</v>
      </c>
      <c r="B346">
        <v>0</v>
      </c>
      <c r="C346">
        <v>0</v>
      </c>
      <c r="D346">
        <v>0</v>
      </c>
      <c r="E346">
        <v>0.1</v>
      </c>
      <c r="F346">
        <v>0.1</v>
      </c>
      <c r="G346">
        <v>0.1</v>
      </c>
      <c r="H346">
        <v>0.1</v>
      </c>
      <c r="I346">
        <v>0.1</v>
      </c>
      <c r="J346">
        <v>0.1</v>
      </c>
      <c r="K346">
        <v>0.1</v>
      </c>
      <c r="L346">
        <v>0.2</v>
      </c>
      <c r="M346">
        <v>0.2</v>
      </c>
      <c r="N346">
        <v>0.6</v>
      </c>
      <c r="O346">
        <v>0.5</v>
      </c>
      <c r="P346">
        <v>0.5</v>
      </c>
      <c r="Q346">
        <v>0.5</v>
      </c>
      <c r="R346">
        <v>0.7</v>
      </c>
      <c r="S346">
        <v>0.6</v>
      </c>
      <c r="T346">
        <v>0.6</v>
      </c>
      <c r="U346">
        <v>0.5</v>
      </c>
      <c r="V346">
        <v>0.5</v>
      </c>
      <c r="W346">
        <v>0.7</v>
      </c>
      <c r="X346">
        <v>0.6</v>
      </c>
      <c r="Y346">
        <v>0.6</v>
      </c>
      <c r="Z346">
        <v>0.5</v>
      </c>
      <c r="AA346">
        <v>0.6</v>
      </c>
      <c r="AB346">
        <v>0.6</v>
      </c>
    </row>
    <row r="347" spans="1:28" x14ac:dyDescent="0.25">
      <c r="A347" s="22" t="s">
        <v>1524</v>
      </c>
      <c r="B347">
        <v>6363.1</v>
      </c>
      <c r="C347">
        <v>6308.3</v>
      </c>
      <c r="D347">
        <v>6420</v>
      </c>
      <c r="E347">
        <v>6530.5</v>
      </c>
      <c r="F347">
        <v>6621.6</v>
      </c>
      <c r="G347">
        <v>6709</v>
      </c>
      <c r="H347">
        <v>6903.1</v>
      </c>
      <c r="I347">
        <v>6962</v>
      </c>
      <c r="J347">
        <v>7017.5</v>
      </c>
      <c r="K347">
        <v>7056.8</v>
      </c>
      <c r="L347">
        <v>7213.9</v>
      </c>
      <c r="M347">
        <v>7095.2</v>
      </c>
      <c r="N347">
        <v>7131</v>
      </c>
      <c r="O347">
        <v>7171.5</v>
      </c>
      <c r="P347">
        <v>7304.6</v>
      </c>
      <c r="Q347">
        <v>7313.3</v>
      </c>
      <c r="R347">
        <v>7246.5</v>
      </c>
      <c r="S347">
        <v>7349.1</v>
      </c>
      <c r="T347">
        <v>7145.3</v>
      </c>
      <c r="U347">
        <v>6700.1</v>
      </c>
      <c r="V347">
        <v>6925.5</v>
      </c>
      <c r="W347">
        <v>6776.7</v>
      </c>
      <c r="X347">
        <v>6538.3</v>
      </c>
      <c r="Y347">
        <v>6680.1</v>
      </c>
      <c r="Z347">
        <v>6739.7</v>
      </c>
      <c r="AA347">
        <v>6586.7</v>
      </c>
      <c r="AB347">
        <v>6511.3</v>
      </c>
    </row>
    <row r="348" spans="1:28" x14ac:dyDescent="0.25">
      <c r="A348" s="99" t="s">
        <v>1525</v>
      </c>
      <c r="B348">
        <v>10.6</v>
      </c>
      <c r="C348">
        <v>11.4</v>
      </c>
      <c r="D348">
        <v>8.4</v>
      </c>
      <c r="E348">
        <v>7.4</v>
      </c>
      <c r="F348">
        <v>16.100000000000001</v>
      </c>
      <c r="G348">
        <v>7.4</v>
      </c>
      <c r="H348">
        <v>13.2</v>
      </c>
      <c r="I348">
        <v>7.1</v>
      </c>
      <c r="J348">
        <v>9.6999999999999993</v>
      </c>
      <c r="K348">
        <v>15.1</v>
      </c>
      <c r="L348">
        <v>20.8</v>
      </c>
      <c r="M348">
        <v>14.2</v>
      </c>
      <c r="N348">
        <v>26.3</v>
      </c>
      <c r="O348">
        <v>18.2</v>
      </c>
      <c r="P348">
        <v>25.8</v>
      </c>
      <c r="Q348">
        <v>23</v>
      </c>
      <c r="R348">
        <v>22</v>
      </c>
      <c r="S348">
        <v>28</v>
      </c>
      <c r="T348">
        <v>19.899999999999999</v>
      </c>
      <c r="U348">
        <v>18.8</v>
      </c>
      <c r="V348">
        <v>12.5</v>
      </c>
      <c r="W348">
        <v>19.899999999999999</v>
      </c>
      <c r="X348">
        <v>26.1</v>
      </c>
      <c r="Y348">
        <v>19.2</v>
      </c>
      <c r="Z348">
        <v>19.7</v>
      </c>
      <c r="AA348">
        <v>19.7</v>
      </c>
      <c r="AB348">
        <v>38.1</v>
      </c>
    </row>
    <row r="349" spans="1:28" x14ac:dyDescent="0.25">
      <c r="A349" s="30" t="s">
        <v>1526</v>
      </c>
      <c r="B349">
        <v>-830.2</v>
      </c>
      <c r="C349">
        <v>-840.3</v>
      </c>
      <c r="D349">
        <v>-819.7</v>
      </c>
      <c r="E349">
        <v>-799.3</v>
      </c>
      <c r="F349">
        <v>-836.1</v>
      </c>
      <c r="G349">
        <v>-793.1</v>
      </c>
      <c r="H349">
        <v>-813.1</v>
      </c>
      <c r="I349">
        <v>-790.7</v>
      </c>
      <c r="J349">
        <v>-777.6</v>
      </c>
      <c r="K349">
        <v>-775.5</v>
      </c>
      <c r="L349">
        <v>-773.2</v>
      </c>
      <c r="M349">
        <v>-735.8</v>
      </c>
      <c r="N349">
        <v>-731.7</v>
      </c>
      <c r="O349">
        <v>-731.7</v>
      </c>
      <c r="P349">
        <v>-724.5</v>
      </c>
      <c r="Q349">
        <v>-754</v>
      </c>
      <c r="R349">
        <v>-763.2</v>
      </c>
      <c r="S349">
        <v>-726.5</v>
      </c>
      <c r="T349">
        <v>-704.8</v>
      </c>
      <c r="U349">
        <v>-710.3</v>
      </c>
      <c r="V349">
        <v>-729.7</v>
      </c>
      <c r="W349">
        <v>-769.1</v>
      </c>
      <c r="X349">
        <v>-779.8</v>
      </c>
      <c r="Y349">
        <v>-782.2</v>
      </c>
      <c r="Z349">
        <v>-781.1</v>
      </c>
      <c r="AA349">
        <v>-778.7</v>
      </c>
      <c r="AB349">
        <v>-754.9</v>
      </c>
    </row>
    <row r="350" spans="1:28" x14ac:dyDescent="0.25">
      <c r="A350" s="19" t="s">
        <v>1527</v>
      </c>
      <c r="B350">
        <v>-819.6</v>
      </c>
      <c r="C350">
        <v>-828.8</v>
      </c>
      <c r="D350">
        <v>-811.3</v>
      </c>
      <c r="E350">
        <v>-791.9</v>
      </c>
      <c r="F350">
        <v>-820</v>
      </c>
      <c r="G350">
        <v>-785.7</v>
      </c>
      <c r="H350">
        <v>-799.9</v>
      </c>
      <c r="I350">
        <v>-783.6</v>
      </c>
      <c r="J350">
        <v>-767.9</v>
      </c>
      <c r="K350">
        <v>-760.5</v>
      </c>
      <c r="L350">
        <v>-752.4</v>
      </c>
      <c r="M350">
        <v>-721.6</v>
      </c>
      <c r="N350">
        <v>-705.4</v>
      </c>
      <c r="O350">
        <v>-713.5</v>
      </c>
      <c r="P350">
        <v>-698.7</v>
      </c>
      <c r="Q350">
        <v>-731</v>
      </c>
      <c r="R350">
        <v>-741.2</v>
      </c>
      <c r="S350">
        <v>-698.5</v>
      </c>
      <c r="T350">
        <v>-685</v>
      </c>
      <c r="U350">
        <v>-691.5</v>
      </c>
      <c r="V350">
        <v>-717.2</v>
      </c>
      <c r="W350">
        <v>-749.2</v>
      </c>
      <c r="X350">
        <v>-753.8</v>
      </c>
      <c r="Y350">
        <v>-763</v>
      </c>
      <c r="Z350">
        <v>-761.4</v>
      </c>
      <c r="AA350">
        <v>-758.9</v>
      </c>
      <c r="AB350">
        <v>-716.8</v>
      </c>
    </row>
    <row r="351" spans="1:28" x14ac:dyDescent="0.25">
      <c r="A351" s="22" t="s">
        <v>1528</v>
      </c>
      <c r="B351">
        <v>5543.5</v>
      </c>
      <c r="C351">
        <v>5479.4</v>
      </c>
      <c r="D351">
        <v>5608.7</v>
      </c>
      <c r="E351">
        <v>5738.7</v>
      </c>
      <c r="F351">
        <v>5801.6</v>
      </c>
      <c r="G351">
        <v>5923.3</v>
      </c>
      <c r="H351">
        <v>6103.2</v>
      </c>
      <c r="I351">
        <v>6178.4</v>
      </c>
      <c r="J351">
        <v>6249.6</v>
      </c>
      <c r="K351">
        <v>6296.3</v>
      </c>
      <c r="L351">
        <v>6461.5</v>
      </c>
      <c r="M351">
        <v>6373.6</v>
      </c>
      <c r="N351">
        <v>6425.6</v>
      </c>
      <c r="O351">
        <v>6458</v>
      </c>
      <c r="P351">
        <v>6606</v>
      </c>
      <c r="Q351">
        <v>6582.3</v>
      </c>
      <c r="R351">
        <v>6505.2</v>
      </c>
      <c r="S351">
        <v>6650.6</v>
      </c>
      <c r="T351">
        <v>6460.4</v>
      </c>
      <c r="U351">
        <v>6008.6</v>
      </c>
      <c r="V351">
        <v>6208.3</v>
      </c>
      <c r="W351">
        <v>6027.6</v>
      </c>
      <c r="X351">
        <v>5784.5</v>
      </c>
      <c r="Y351">
        <v>5917.1</v>
      </c>
      <c r="Z351">
        <v>5978.3</v>
      </c>
      <c r="AA351">
        <v>5827.7</v>
      </c>
      <c r="AB351">
        <v>5794.5</v>
      </c>
    </row>
    <row r="352" spans="1:28" ht="49.5" customHeight="1" x14ac:dyDescent="0.25">
      <c r="A352" s="367" t="s">
        <v>1529</v>
      </c>
      <c r="B352" s="367"/>
      <c r="C352" s="367"/>
      <c r="D352" s="367"/>
      <c r="E352" s="367"/>
      <c r="F352" s="367"/>
      <c r="G352" s="367"/>
      <c r="H352" s="367"/>
      <c r="I352" s="367"/>
      <c r="J352" s="367"/>
    </row>
    <row r="354" spans="1:6" x14ac:dyDescent="0.25">
      <c r="A354" s="55" t="s">
        <v>1540</v>
      </c>
      <c r="B354" s="55"/>
      <c r="C354" s="55"/>
      <c r="D354" s="55"/>
      <c r="E354" s="58"/>
      <c r="F354" s="58"/>
    </row>
    <row r="355" spans="1:6" x14ac:dyDescent="0.25">
      <c r="A355" s="54" t="s">
        <v>1458</v>
      </c>
      <c r="B355" s="54" t="s">
        <v>1459</v>
      </c>
      <c r="C355" s="54" t="s">
        <v>877</v>
      </c>
      <c r="D355" s="54" t="s">
        <v>1541</v>
      </c>
      <c r="E355" s="54" t="s">
        <v>1542</v>
      </c>
      <c r="F355" s="54" t="s">
        <v>1543</v>
      </c>
    </row>
    <row r="356" spans="1:6" x14ac:dyDescent="0.25">
      <c r="A356" s="350" t="s">
        <v>1439</v>
      </c>
      <c r="B356" t="s">
        <v>1460</v>
      </c>
      <c r="C356" t="s">
        <v>865</v>
      </c>
      <c r="D356" t="b">
        <f>IF((N2-D2)&lt;0,TRUE,FALSE)</f>
        <v>0</v>
      </c>
      <c r="E356" t="str">
        <f t="array" ref="E356:F356">IF(D356=TRUE,LOGEST(D2:M2,$D$1:$M$1,TRUE,FALSE),"")</f>
        <v/>
      </c>
      <c r="F356" t="str">
        <v/>
      </c>
    </row>
    <row r="357" spans="1:6" x14ac:dyDescent="0.25">
      <c r="A357" s="350" t="s">
        <v>1440</v>
      </c>
      <c r="B357" t="s">
        <v>229</v>
      </c>
      <c r="C357" t="s">
        <v>865</v>
      </c>
      <c r="D357" t="b">
        <f t="shared" ref="D357:D420" si="40">IF((N3-D3)&lt;0,TRUE,FALSE)</f>
        <v>0</v>
      </c>
      <c r="E357" t="str">
        <f t="array" ref="E357:F357">IF(D357=TRUE,LOGEST(D3:M3,$D$1:$M$1,TRUE,FALSE),"")</f>
        <v/>
      </c>
      <c r="F357" t="str">
        <v/>
      </c>
    </row>
    <row r="358" spans="1:6" x14ac:dyDescent="0.25">
      <c r="A358" s="351" t="s">
        <v>1725</v>
      </c>
      <c r="B358" t="s">
        <v>295</v>
      </c>
      <c r="C358" t="s">
        <v>865</v>
      </c>
      <c r="D358" t="b">
        <f t="shared" si="40"/>
        <v>1</v>
      </c>
      <c r="E358">
        <f t="array" ref="E358:F358">IF(D358=TRUE,LOGEST(D4:M4,$D$1:$M$1,TRUE,FALSE),"")</f>
        <v>0.98728653821604695</v>
      </c>
      <c r="F358">
        <v>25940461164118.504</v>
      </c>
    </row>
    <row r="359" spans="1:6" x14ac:dyDescent="0.25">
      <c r="A359" s="350" t="s">
        <v>1722</v>
      </c>
      <c r="B359" t="s">
        <v>295</v>
      </c>
      <c r="C359" t="s">
        <v>865</v>
      </c>
      <c r="D359" t="b">
        <f t="shared" si="40"/>
        <v>0</v>
      </c>
      <c r="E359" t="str">
        <f t="array" ref="E359:F359">IF(D359=TRUE,LOGEST(D5:M5,$D$1:$M$1,TRUE,FALSE),"")</f>
        <v/>
      </c>
      <c r="F359" t="str">
        <v/>
      </c>
    </row>
    <row r="360" spans="1:6" x14ac:dyDescent="0.25">
      <c r="A360" s="350" t="s">
        <v>1443</v>
      </c>
      <c r="B360" t="s">
        <v>1461</v>
      </c>
      <c r="C360" t="s">
        <v>865</v>
      </c>
      <c r="D360" t="b">
        <f t="shared" si="40"/>
        <v>1</v>
      </c>
      <c r="E360">
        <f t="array" ref="E360:F360">IF(D360=TRUE,LOGEST(D6:M6,$D$1:$M$1,TRUE,FALSE),"")</f>
        <v>0.99394338374881697</v>
      </c>
      <c r="F360">
        <v>2786255058.2847667</v>
      </c>
    </row>
    <row r="361" spans="1:6" x14ac:dyDescent="0.25">
      <c r="A361" s="350" t="s">
        <v>1444</v>
      </c>
      <c r="B361" t="s">
        <v>1461</v>
      </c>
      <c r="C361" t="s">
        <v>865</v>
      </c>
      <c r="D361" t="b">
        <f t="shared" si="40"/>
        <v>0</v>
      </c>
      <c r="E361" t="str">
        <f t="array" ref="E361:F361">IF(D361=TRUE,LOGEST(D7:M7,$D$1:$M$1,TRUE,FALSE),"")</f>
        <v/>
      </c>
      <c r="F361" t="str">
        <v/>
      </c>
    </row>
    <row r="362" spans="1:6" x14ac:dyDescent="0.25">
      <c r="A362" s="350" t="s">
        <v>1445</v>
      </c>
      <c r="B362" t="s">
        <v>229</v>
      </c>
      <c r="C362" t="s">
        <v>865</v>
      </c>
      <c r="D362" t="b">
        <f t="shared" si="40"/>
        <v>0</v>
      </c>
      <c r="E362" t="str">
        <f t="array" ref="E362:F362">IF(D362=TRUE,LOGEST(D8:M8,$D$1:$M$1,TRUE,FALSE),"")</f>
        <v/>
      </c>
      <c r="F362" t="str">
        <v/>
      </c>
    </row>
    <row r="363" spans="1:6" x14ac:dyDescent="0.25">
      <c r="A363" s="351" t="s">
        <v>1724</v>
      </c>
      <c r="B363" t="s">
        <v>295</v>
      </c>
      <c r="C363" t="s">
        <v>865</v>
      </c>
      <c r="D363" t="b">
        <f t="shared" si="40"/>
        <v>0</v>
      </c>
      <c r="E363" t="str">
        <f t="array" ref="E363:F363">IF(D363=TRUE,LOGEST(D9:M9,$D$1:$M$1,TRUE,FALSE),"")</f>
        <v/>
      </c>
      <c r="F363" t="str">
        <v/>
      </c>
    </row>
    <row r="364" spans="1:6" x14ac:dyDescent="0.25">
      <c r="A364" s="350" t="s">
        <v>1447</v>
      </c>
      <c r="B364" t="s">
        <v>229</v>
      </c>
      <c r="C364" t="s">
        <v>865</v>
      </c>
      <c r="D364" t="b">
        <f t="shared" si="40"/>
        <v>1</v>
      </c>
      <c r="E364">
        <f t="array" ref="E364:F364">IF(D364=TRUE,LOGEST(D10:M10,$D$1:$M$1,TRUE,FALSE),"")</f>
        <v>0.99593902202174767</v>
      </c>
      <c r="F364">
        <v>9982389.8883004673</v>
      </c>
    </row>
    <row r="365" spans="1:6" x14ac:dyDescent="0.25">
      <c r="A365" s="350" t="s">
        <v>1448</v>
      </c>
      <c r="B365" t="s">
        <v>228</v>
      </c>
      <c r="C365" t="s">
        <v>865</v>
      </c>
      <c r="D365" t="b">
        <f t="shared" si="40"/>
        <v>0</v>
      </c>
      <c r="E365" t="str">
        <f t="array" ref="E365:F365">IF(D365=TRUE,LOGEST(D11:M11,$D$1:$M$1,TRUE,FALSE),"")</f>
        <v/>
      </c>
      <c r="F365" t="str">
        <v/>
      </c>
    </row>
    <row r="366" spans="1:6" x14ac:dyDescent="0.25">
      <c r="A366" s="350" t="s">
        <v>1449</v>
      </c>
      <c r="B366" t="s">
        <v>295</v>
      </c>
      <c r="C366" t="s">
        <v>865</v>
      </c>
      <c r="D366" t="b">
        <f t="shared" si="40"/>
        <v>0</v>
      </c>
      <c r="E366" t="str">
        <f t="array" ref="E366:F366">IF(D366=TRUE,LOGEST(D12:M12,$D$1:$M$1,TRUE,FALSE),"")</f>
        <v/>
      </c>
      <c r="F366" t="str">
        <v/>
      </c>
    </row>
    <row r="367" spans="1:6" x14ac:dyDescent="0.25">
      <c r="A367" s="350" t="s">
        <v>1450</v>
      </c>
      <c r="B367" t="s">
        <v>295</v>
      </c>
      <c r="C367" t="s">
        <v>865</v>
      </c>
      <c r="D367" t="b">
        <f t="shared" si="40"/>
        <v>1</v>
      </c>
      <c r="E367">
        <f t="array" ref="E367:F367">IF(D367=TRUE,LOGEST(D13:M13,$D$1:$M$1,TRUE,FALSE),"")</f>
        <v>0.98497562925916882</v>
      </c>
      <c r="F367">
        <v>2.8505247598442592E+16</v>
      </c>
    </row>
    <row r="368" spans="1:6" x14ac:dyDescent="0.25">
      <c r="A368" s="350" t="s">
        <v>1451</v>
      </c>
      <c r="B368" t="s">
        <v>295</v>
      </c>
      <c r="C368" t="s">
        <v>865</v>
      </c>
      <c r="D368" t="b">
        <f t="shared" si="40"/>
        <v>1</v>
      </c>
      <c r="E368">
        <f t="array" ref="E368:F368">IF(D368=TRUE,LOGEST(D14:M14,$D$1:$M$1,TRUE,FALSE),"")</f>
        <v>1.006797156731505</v>
      </c>
      <c r="F368">
        <v>1.3717941042795132E-3</v>
      </c>
    </row>
    <row r="369" spans="1:6" x14ac:dyDescent="0.25">
      <c r="A369" s="350" t="s">
        <v>1452</v>
      </c>
      <c r="B369" t="s">
        <v>229</v>
      </c>
      <c r="C369" t="s">
        <v>865</v>
      </c>
      <c r="D369" t="b">
        <f t="shared" si="40"/>
        <v>1</v>
      </c>
      <c r="E369">
        <f t="array" ref="E369:F369">IF(D369=TRUE,LOGEST(D15:M15,$D$1:$M$1,TRUE,FALSE),"")</f>
        <v>0.98900605255717089</v>
      </c>
      <c r="F369">
        <v>4946406093132.1611</v>
      </c>
    </row>
    <row r="370" spans="1:6" x14ac:dyDescent="0.25">
      <c r="A370" s="350" t="s">
        <v>1453</v>
      </c>
      <c r="B370" t="s">
        <v>295</v>
      </c>
      <c r="C370" t="s">
        <v>865</v>
      </c>
      <c r="D370" t="b">
        <f t="shared" si="40"/>
        <v>1</v>
      </c>
      <c r="E370">
        <f t="array" ref="E370:F370">IF(D370=TRUE,LOGEST(D16:M16,$D$1:$M$1,TRUE,FALSE),"")</f>
        <v>0.98232840832993429</v>
      </c>
      <c r="F370">
        <v>1.9478255583203072E+18</v>
      </c>
    </row>
    <row r="371" spans="1:6" x14ac:dyDescent="0.25">
      <c r="A371" s="350" t="s">
        <v>1454</v>
      </c>
      <c r="B371" t="s">
        <v>285</v>
      </c>
      <c r="C371" t="s">
        <v>865</v>
      </c>
      <c r="D371" t="b">
        <f t="shared" si="40"/>
        <v>0</v>
      </c>
      <c r="E371" t="str">
        <f t="array" ref="E371:F371">IF(D371=TRUE,LOGEST(D17:M17,$D$1:$M$1,TRUE,FALSE),"")</f>
        <v/>
      </c>
      <c r="F371" t="str">
        <v/>
      </c>
    </row>
    <row r="372" spans="1:6" x14ac:dyDescent="0.25">
      <c r="A372" s="350" t="s">
        <v>1455</v>
      </c>
      <c r="B372" t="s">
        <v>289</v>
      </c>
      <c r="C372" t="s">
        <v>865</v>
      </c>
      <c r="D372" t="b">
        <f t="shared" si="40"/>
        <v>0</v>
      </c>
      <c r="E372" t="str">
        <f t="array" ref="E372:F372">IF(D372=TRUE,LOGEST(D18:M18,$D$1:$M$1,TRUE,FALSE),"")</f>
        <v/>
      </c>
      <c r="F372" t="str">
        <v/>
      </c>
    </row>
    <row r="373" spans="1:6" x14ac:dyDescent="0.25">
      <c r="A373" s="350" t="s">
        <v>1456</v>
      </c>
      <c r="B373" t="s">
        <v>289</v>
      </c>
      <c r="C373" t="s">
        <v>865</v>
      </c>
      <c r="D373" t="b">
        <f t="shared" si="40"/>
        <v>0</v>
      </c>
      <c r="E373" t="str">
        <f t="array" ref="E373:F373">IF(D373=TRUE,LOGEST(D19:M19,$D$1:$M$1,TRUE,FALSE),"")</f>
        <v/>
      </c>
      <c r="F373" t="str">
        <v/>
      </c>
    </row>
    <row r="374" spans="1:6" x14ac:dyDescent="0.25">
      <c r="A374" s="350" t="s">
        <v>1457</v>
      </c>
      <c r="B374" t="s">
        <v>295</v>
      </c>
      <c r="C374" t="s">
        <v>865</v>
      </c>
      <c r="D374" t="b">
        <f t="shared" si="40"/>
        <v>0</v>
      </c>
      <c r="E374" t="str">
        <f t="array" ref="E374:F374">IF(D374=TRUE,LOGEST(D20:M20,$D$1:$M$1,TRUE,FALSE),"")</f>
        <v/>
      </c>
      <c r="F374" t="str">
        <v/>
      </c>
    </row>
    <row r="375" spans="1:6" x14ac:dyDescent="0.25">
      <c r="A375" s="350" t="s">
        <v>1718</v>
      </c>
      <c r="B375" t="s">
        <v>295</v>
      </c>
      <c r="C375" t="s">
        <v>865</v>
      </c>
      <c r="D375" t="b">
        <f t="shared" si="40"/>
        <v>0</v>
      </c>
      <c r="E375" t="str">
        <f t="array" ref="E375:F375">IF(D375=TRUE,LOGEST(D21:M21,$D$1:$M$1,TRUE,FALSE),"")</f>
        <v/>
      </c>
      <c r="F375" t="str">
        <v/>
      </c>
    </row>
    <row r="376" spans="1:6" x14ac:dyDescent="0.25">
      <c r="A376" s="350" t="s">
        <v>1719</v>
      </c>
      <c r="B376" t="s">
        <v>295</v>
      </c>
      <c r="C376" t="s">
        <v>865</v>
      </c>
      <c r="D376" t="b">
        <f t="shared" si="40"/>
        <v>0</v>
      </c>
      <c r="E376" t="str">
        <f t="array" ref="E376:F376">IF(D376=TRUE,LOGEST(D22:M22,$D$1:$M$1,TRUE,FALSE),"")</f>
        <v/>
      </c>
      <c r="F376" t="str">
        <v/>
      </c>
    </row>
    <row r="377" spans="1:6" x14ac:dyDescent="0.25">
      <c r="A377" s="350" t="s">
        <v>1720</v>
      </c>
      <c r="B377" t="s">
        <v>295</v>
      </c>
      <c r="C377" t="s">
        <v>865</v>
      </c>
      <c r="D377" t="b">
        <f t="shared" si="40"/>
        <v>1</v>
      </c>
      <c r="E377">
        <f t="array" ref="E377:F377">IF(D377=TRUE,LOGEST(D23:M23,$D$1:$M$1,TRUE,FALSE),"")</f>
        <v>0.97786306254384159</v>
      </c>
      <c r="F377">
        <v>3.9319065200046907E+23</v>
      </c>
    </row>
    <row r="378" spans="1:6" x14ac:dyDescent="0.25">
      <c r="A378" s="350" t="s">
        <v>1721</v>
      </c>
      <c r="B378" t="s">
        <v>295</v>
      </c>
      <c r="C378" t="s">
        <v>865</v>
      </c>
      <c r="D378" t="b">
        <f t="shared" si="40"/>
        <v>1</v>
      </c>
      <c r="E378">
        <f t="array" ref="E378:F378">IF(D378=TRUE,LOGEST(D24:M24,$D$1:$M$1,TRUE,FALSE),"")</f>
        <v>0.98548109738415657</v>
      </c>
      <c r="F378">
        <v>2.5212911387049056E+16</v>
      </c>
    </row>
    <row r="379" spans="1:6" x14ac:dyDescent="0.25">
      <c r="A379" s="350" t="s">
        <v>1723</v>
      </c>
      <c r="B379" t="s">
        <v>295</v>
      </c>
      <c r="C379" t="s">
        <v>865</v>
      </c>
      <c r="D379" t="b">
        <f t="shared" si="40"/>
        <v>1</v>
      </c>
      <c r="E379">
        <f t="array" ref="E379:F379">IF(D379=TRUE,LOGEST(D25:M25,$D$1:$M$1,TRUE,FALSE),"")</f>
        <v>0.96775618456000012</v>
      </c>
      <c r="F379">
        <v>5.774053363028506E+31</v>
      </c>
    </row>
    <row r="380" spans="1:6" x14ac:dyDescent="0.25">
      <c r="A380" s="350" t="s">
        <v>1439</v>
      </c>
      <c r="B380" t="s">
        <v>1460</v>
      </c>
      <c r="C380" t="s">
        <v>874</v>
      </c>
      <c r="D380" t="b">
        <f t="shared" si="40"/>
        <v>0</v>
      </c>
      <c r="E380" t="str">
        <f t="array" ref="E380:F380">IF(D380=TRUE,LOGEST(D26:M26,$D$1:$M$1,TRUE,FALSE),"")</f>
        <v/>
      </c>
      <c r="F380" t="str">
        <v/>
      </c>
    </row>
    <row r="381" spans="1:6" x14ac:dyDescent="0.25">
      <c r="A381" s="350" t="s">
        <v>1440</v>
      </c>
      <c r="B381" t="s">
        <v>229</v>
      </c>
      <c r="C381" t="s">
        <v>874</v>
      </c>
      <c r="D381" t="b">
        <f t="shared" si="40"/>
        <v>0</v>
      </c>
      <c r="E381" t="str">
        <f t="array" ref="E381:F381">IF(D381=TRUE,LOGEST(D27:M27,$D$1:$M$1,TRUE,FALSE),"")</f>
        <v/>
      </c>
      <c r="F381" t="str">
        <v/>
      </c>
    </row>
    <row r="382" spans="1:6" x14ac:dyDescent="0.25">
      <c r="A382" s="351" t="s">
        <v>1725</v>
      </c>
      <c r="B382" t="s">
        <v>295</v>
      </c>
      <c r="C382" t="s">
        <v>874</v>
      </c>
      <c r="D382" t="b">
        <f t="shared" si="40"/>
        <v>0</v>
      </c>
      <c r="E382" t="str">
        <f t="array" ref="E382:F382">IF(D382=TRUE,LOGEST(D28:M28,$D$1:$M$1,TRUE,FALSE),"")</f>
        <v/>
      </c>
      <c r="F382" t="str">
        <v/>
      </c>
    </row>
    <row r="383" spans="1:6" x14ac:dyDescent="0.25">
      <c r="A383" s="350" t="s">
        <v>1722</v>
      </c>
      <c r="B383" t="s">
        <v>295</v>
      </c>
      <c r="C383" t="s">
        <v>874</v>
      </c>
      <c r="D383" t="b">
        <f t="shared" si="40"/>
        <v>0</v>
      </c>
      <c r="E383" t="str">
        <f t="array" ref="E383:F383">IF(D383=TRUE,LOGEST(D29:M29,$D$1:$M$1,TRUE,FALSE),"")</f>
        <v/>
      </c>
      <c r="F383" t="str">
        <v/>
      </c>
    </row>
    <row r="384" spans="1:6" x14ac:dyDescent="0.25">
      <c r="A384" s="350" t="s">
        <v>1443</v>
      </c>
      <c r="B384" t="s">
        <v>1461</v>
      </c>
      <c r="C384" t="s">
        <v>874</v>
      </c>
      <c r="D384" t="b">
        <f t="shared" si="40"/>
        <v>0</v>
      </c>
      <c r="E384" t="str">
        <f t="array" ref="E384:F384">IF(D384=TRUE,LOGEST(D30:M30,$D$1:$M$1,TRUE,FALSE),"")</f>
        <v/>
      </c>
      <c r="F384" t="str">
        <v/>
      </c>
    </row>
    <row r="385" spans="1:6" x14ac:dyDescent="0.25">
      <c r="A385" s="350" t="s">
        <v>1444</v>
      </c>
      <c r="B385" t="s">
        <v>1461</v>
      </c>
      <c r="C385" t="s">
        <v>874</v>
      </c>
      <c r="D385" t="b">
        <f t="shared" si="40"/>
        <v>0</v>
      </c>
      <c r="E385" t="str">
        <f t="array" ref="E385:F385">IF(D385=TRUE,LOGEST(D31:M31,$D$1:$M$1,TRUE,FALSE),"")</f>
        <v/>
      </c>
      <c r="F385" t="str">
        <v/>
      </c>
    </row>
    <row r="386" spans="1:6" x14ac:dyDescent="0.25">
      <c r="A386" s="350" t="s">
        <v>1445</v>
      </c>
      <c r="B386" t="s">
        <v>229</v>
      </c>
      <c r="C386" t="s">
        <v>874</v>
      </c>
      <c r="D386" t="b">
        <f t="shared" si="40"/>
        <v>0</v>
      </c>
      <c r="E386" t="str">
        <f t="array" ref="E386:F386">IF(D386=TRUE,LOGEST(D32:M32,$D$1:$M$1,TRUE,FALSE),"")</f>
        <v/>
      </c>
      <c r="F386" t="str">
        <v/>
      </c>
    </row>
    <row r="387" spans="1:6" x14ac:dyDescent="0.25">
      <c r="A387" s="351" t="s">
        <v>1724</v>
      </c>
      <c r="B387" t="s">
        <v>295</v>
      </c>
      <c r="C387" t="s">
        <v>874</v>
      </c>
      <c r="D387" t="b">
        <f t="shared" si="40"/>
        <v>0</v>
      </c>
      <c r="E387" t="str">
        <f t="array" ref="E387:F387">IF(D387=TRUE,LOGEST(D33:M33,$D$1:$M$1,TRUE,FALSE),"")</f>
        <v/>
      </c>
      <c r="F387" t="str">
        <v/>
      </c>
    </row>
    <row r="388" spans="1:6" x14ac:dyDescent="0.25">
      <c r="A388" s="350" t="s">
        <v>1447</v>
      </c>
      <c r="B388" t="s">
        <v>229</v>
      </c>
      <c r="C388" t="s">
        <v>874</v>
      </c>
      <c r="D388" t="b">
        <f t="shared" si="40"/>
        <v>0</v>
      </c>
      <c r="E388" t="str">
        <f t="array" ref="E388:F388">IF(D388=TRUE,LOGEST(D34:M34,$D$1:$M$1,TRUE,FALSE),"")</f>
        <v/>
      </c>
      <c r="F388" t="str">
        <v/>
      </c>
    </row>
    <row r="389" spans="1:6" x14ac:dyDescent="0.25">
      <c r="A389" s="350" t="s">
        <v>1448</v>
      </c>
      <c r="B389" t="s">
        <v>228</v>
      </c>
      <c r="C389" t="s">
        <v>874</v>
      </c>
      <c r="D389" t="b">
        <f t="shared" si="40"/>
        <v>0</v>
      </c>
      <c r="E389" t="str">
        <f t="array" ref="E389:F389">IF(D389=TRUE,LOGEST(D35:M35,$D$1:$M$1,TRUE,FALSE),"")</f>
        <v/>
      </c>
      <c r="F389" t="str">
        <v/>
      </c>
    </row>
    <row r="390" spans="1:6" x14ac:dyDescent="0.25">
      <c r="A390" s="350" t="s">
        <v>1449</v>
      </c>
      <c r="B390" t="s">
        <v>295</v>
      </c>
      <c r="C390" t="s">
        <v>874</v>
      </c>
      <c r="D390" t="b">
        <f t="shared" si="40"/>
        <v>0</v>
      </c>
      <c r="E390" t="str">
        <f t="array" ref="E390:F390">IF(D390=TRUE,LOGEST(D36:M36,$D$1:$M$1,TRUE,FALSE),"")</f>
        <v/>
      </c>
      <c r="F390" t="str">
        <v/>
      </c>
    </row>
    <row r="391" spans="1:6" x14ac:dyDescent="0.25">
      <c r="A391" s="350" t="s">
        <v>1450</v>
      </c>
      <c r="B391" t="s">
        <v>295</v>
      </c>
      <c r="C391" t="s">
        <v>874</v>
      </c>
      <c r="D391" t="b">
        <f t="shared" si="40"/>
        <v>0</v>
      </c>
      <c r="E391" t="str">
        <f t="array" ref="E391:F391">IF(D391=TRUE,LOGEST(D37:M37,$D$1:$M$1,TRUE,FALSE),"")</f>
        <v/>
      </c>
      <c r="F391" t="str">
        <v/>
      </c>
    </row>
    <row r="392" spans="1:6" x14ac:dyDescent="0.25">
      <c r="A392" s="350" t="s">
        <v>1451</v>
      </c>
      <c r="B392" t="s">
        <v>295</v>
      </c>
      <c r="C392" t="s">
        <v>874</v>
      </c>
      <c r="D392" t="b">
        <f t="shared" si="40"/>
        <v>0</v>
      </c>
      <c r="E392" t="str">
        <f t="array" ref="E392:F392">IF(D392=TRUE,LOGEST(D38:M38,$D$1:$M$1,TRUE,FALSE),"")</f>
        <v/>
      </c>
      <c r="F392" t="str">
        <v/>
      </c>
    </row>
    <row r="393" spans="1:6" x14ac:dyDescent="0.25">
      <c r="A393" s="350" t="s">
        <v>1452</v>
      </c>
      <c r="B393" t="s">
        <v>229</v>
      </c>
      <c r="C393" t="s">
        <v>874</v>
      </c>
      <c r="D393" t="b">
        <f t="shared" si="40"/>
        <v>0</v>
      </c>
      <c r="E393" t="str">
        <f t="array" ref="E393:F393">IF(D393=TRUE,LOGEST(D39:M39,$D$1:$M$1,TRUE,FALSE),"")</f>
        <v/>
      </c>
      <c r="F393" t="str">
        <v/>
      </c>
    </row>
    <row r="394" spans="1:6" x14ac:dyDescent="0.25">
      <c r="A394" s="350" t="s">
        <v>1453</v>
      </c>
      <c r="B394" t="s">
        <v>295</v>
      </c>
      <c r="C394" t="s">
        <v>874</v>
      </c>
      <c r="D394" t="b">
        <f t="shared" si="40"/>
        <v>0</v>
      </c>
      <c r="E394" t="str">
        <f t="array" ref="E394:F394">IF(D394=TRUE,LOGEST(D40:M40,$D$1:$M$1,TRUE,FALSE),"")</f>
        <v/>
      </c>
      <c r="F394" t="str">
        <v/>
      </c>
    </row>
    <row r="395" spans="1:6" x14ac:dyDescent="0.25">
      <c r="A395" s="350" t="s">
        <v>1454</v>
      </c>
      <c r="B395" t="s">
        <v>285</v>
      </c>
      <c r="C395" t="s">
        <v>874</v>
      </c>
      <c r="D395" t="b">
        <f t="shared" si="40"/>
        <v>0</v>
      </c>
      <c r="E395" t="str">
        <f t="array" ref="E395:F395">IF(D395=TRUE,LOGEST(D41:M41,$D$1:$M$1,TRUE,FALSE),"")</f>
        <v/>
      </c>
      <c r="F395" t="str">
        <v/>
      </c>
    </row>
    <row r="396" spans="1:6" x14ac:dyDescent="0.25">
      <c r="A396" s="350" t="s">
        <v>1455</v>
      </c>
      <c r="B396" t="s">
        <v>289</v>
      </c>
      <c r="C396" t="s">
        <v>874</v>
      </c>
      <c r="D396" t="b">
        <f t="shared" si="40"/>
        <v>0</v>
      </c>
      <c r="E396" t="str">
        <f t="array" ref="E396:F396">IF(D396=TRUE,LOGEST(D42:M42,$D$1:$M$1,TRUE,FALSE),"")</f>
        <v/>
      </c>
      <c r="F396" t="str">
        <v/>
      </c>
    </row>
    <row r="397" spans="1:6" x14ac:dyDescent="0.25">
      <c r="A397" s="350" t="s">
        <v>1456</v>
      </c>
      <c r="B397" t="s">
        <v>289</v>
      </c>
      <c r="C397" t="s">
        <v>874</v>
      </c>
      <c r="D397" t="b">
        <f t="shared" si="40"/>
        <v>0</v>
      </c>
      <c r="E397" t="str">
        <f t="array" ref="E397:F397">IF(D397=TRUE,LOGEST(D43:M43,$D$1:$M$1,TRUE,FALSE),"")</f>
        <v/>
      </c>
      <c r="F397" t="str">
        <v/>
      </c>
    </row>
    <row r="398" spans="1:6" x14ac:dyDescent="0.25">
      <c r="A398" s="350" t="s">
        <v>1457</v>
      </c>
      <c r="B398" t="s">
        <v>295</v>
      </c>
      <c r="C398" t="s">
        <v>874</v>
      </c>
      <c r="D398" t="b">
        <f t="shared" si="40"/>
        <v>0</v>
      </c>
      <c r="E398" t="str">
        <f t="array" ref="E398:F398">IF(D398=TRUE,LOGEST(D44:M44,$D$1:$M$1,TRUE,FALSE),"")</f>
        <v/>
      </c>
      <c r="F398" t="str">
        <v/>
      </c>
    </row>
    <row r="399" spans="1:6" x14ac:dyDescent="0.25">
      <c r="A399" s="350" t="s">
        <v>1718</v>
      </c>
      <c r="B399" t="s">
        <v>295</v>
      </c>
      <c r="C399" t="s">
        <v>874</v>
      </c>
      <c r="D399" t="b">
        <f t="shared" si="40"/>
        <v>0</v>
      </c>
      <c r="E399" t="str">
        <f t="array" ref="E399:F399">IF(D399=TRUE,LOGEST(D45:M45,$D$1:$M$1,TRUE,FALSE),"")</f>
        <v/>
      </c>
      <c r="F399" t="str">
        <v/>
      </c>
    </row>
    <row r="400" spans="1:6" x14ac:dyDescent="0.25">
      <c r="A400" s="350" t="s">
        <v>1719</v>
      </c>
      <c r="B400" t="s">
        <v>295</v>
      </c>
      <c r="C400" t="s">
        <v>874</v>
      </c>
      <c r="D400" t="b">
        <f t="shared" si="40"/>
        <v>0</v>
      </c>
      <c r="E400" t="str">
        <f t="array" ref="E400:F400">IF(D400=TRUE,LOGEST(D46:M46,$D$1:$M$1,TRUE,FALSE),"")</f>
        <v/>
      </c>
      <c r="F400" t="str">
        <v/>
      </c>
    </row>
    <row r="401" spans="1:6" x14ac:dyDescent="0.25">
      <c r="A401" s="350" t="s">
        <v>1720</v>
      </c>
      <c r="B401" t="s">
        <v>295</v>
      </c>
      <c r="C401" t="s">
        <v>874</v>
      </c>
      <c r="D401" t="b">
        <f t="shared" si="40"/>
        <v>0</v>
      </c>
      <c r="E401" t="str">
        <f t="array" ref="E401:F401">IF(D401=TRUE,LOGEST(D47:M47,$D$1:$M$1,TRUE,FALSE),"")</f>
        <v/>
      </c>
      <c r="F401" t="str">
        <v/>
      </c>
    </row>
    <row r="402" spans="1:6" x14ac:dyDescent="0.25">
      <c r="A402" s="350" t="s">
        <v>1721</v>
      </c>
      <c r="B402" t="s">
        <v>295</v>
      </c>
      <c r="C402" t="s">
        <v>874</v>
      </c>
      <c r="D402" t="b">
        <f t="shared" si="40"/>
        <v>0</v>
      </c>
      <c r="E402" t="str">
        <f t="array" ref="E402:F402">IF(D402=TRUE,LOGEST(D48:M48,$D$1:$M$1,TRUE,FALSE),"")</f>
        <v/>
      </c>
      <c r="F402" t="str">
        <v/>
      </c>
    </row>
    <row r="403" spans="1:6" x14ac:dyDescent="0.25">
      <c r="A403" s="350" t="s">
        <v>1723</v>
      </c>
      <c r="B403" t="s">
        <v>295</v>
      </c>
      <c r="C403" t="s">
        <v>874</v>
      </c>
      <c r="D403" t="b">
        <f t="shared" si="40"/>
        <v>0</v>
      </c>
      <c r="E403" t="str">
        <f t="array" ref="E403:F403">IF(D403=TRUE,LOGEST(D49:M49,$D$1:$M$1,TRUE,FALSE),"")</f>
        <v/>
      </c>
      <c r="F403" t="str">
        <v/>
      </c>
    </row>
    <row r="404" spans="1:6" x14ac:dyDescent="0.25">
      <c r="A404" s="350" t="s">
        <v>1439</v>
      </c>
      <c r="B404" t="s">
        <v>1460</v>
      </c>
      <c r="C404" t="s">
        <v>875</v>
      </c>
      <c r="D404" t="b">
        <f t="shared" si="40"/>
        <v>0</v>
      </c>
      <c r="E404" t="str">
        <f t="array" ref="E404:F404">IF(D404=TRUE,LOGEST(D50:M50,$D$1:$M$1,TRUE,FALSE),"")</f>
        <v/>
      </c>
      <c r="F404" t="str">
        <v/>
      </c>
    </row>
    <row r="405" spans="1:6" x14ac:dyDescent="0.25">
      <c r="A405" s="350" t="s">
        <v>1440</v>
      </c>
      <c r="B405" t="s">
        <v>229</v>
      </c>
      <c r="C405" t="s">
        <v>875</v>
      </c>
      <c r="D405" t="b">
        <f t="shared" si="40"/>
        <v>1</v>
      </c>
      <c r="E405">
        <f t="array" ref="E405:F405">IF(D405=TRUE,LOGEST(D51:M51,$D$1:$M$1,TRUE,FALSE),"")</f>
        <v>0.99520395121255256</v>
      </c>
      <c r="F405">
        <v>587880.34065849008</v>
      </c>
    </row>
    <row r="406" spans="1:6" x14ac:dyDescent="0.25">
      <c r="A406" s="351" t="s">
        <v>1725</v>
      </c>
      <c r="B406" t="s">
        <v>295</v>
      </c>
      <c r="C406" t="s">
        <v>875</v>
      </c>
      <c r="D406" t="b">
        <f t="shared" si="40"/>
        <v>0</v>
      </c>
      <c r="E406" t="str">
        <f t="array" ref="E406:F406">IF(D406=TRUE,LOGEST(D52:M52,$D$1:$M$1,TRUE,FALSE),"")</f>
        <v/>
      </c>
      <c r="F406" t="str">
        <v/>
      </c>
    </row>
    <row r="407" spans="1:6" x14ac:dyDescent="0.25">
      <c r="A407" s="350" t="s">
        <v>1722</v>
      </c>
      <c r="B407" t="s">
        <v>295</v>
      </c>
      <c r="C407" t="s">
        <v>875</v>
      </c>
      <c r="D407" t="b">
        <f t="shared" si="40"/>
        <v>0</v>
      </c>
      <c r="E407" t="str">
        <f t="array" ref="E407:F407">IF(D407=TRUE,LOGEST(D53:M53,$D$1:$M$1,TRUE,FALSE),"")</f>
        <v/>
      </c>
      <c r="F407" t="str">
        <v/>
      </c>
    </row>
    <row r="408" spans="1:6" x14ac:dyDescent="0.25">
      <c r="A408" s="350" t="s">
        <v>1443</v>
      </c>
      <c r="B408" t="s">
        <v>1461</v>
      </c>
      <c r="C408" t="s">
        <v>875</v>
      </c>
      <c r="D408" t="b">
        <f t="shared" si="40"/>
        <v>0</v>
      </c>
      <c r="E408" t="str">
        <f t="array" ref="E408:F408">IF(D408=TRUE,LOGEST(D54:M54,$D$1:$M$1,TRUE,FALSE),"")</f>
        <v/>
      </c>
      <c r="F408" t="str">
        <v/>
      </c>
    </row>
    <row r="409" spans="1:6" x14ac:dyDescent="0.25">
      <c r="A409" s="350" t="s">
        <v>1444</v>
      </c>
      <c r="B409" t="s">
        <v>1461</v>
      </c>
      <c r="C409" t="s">
        <v>875</v>
      </c>
      <c r="D409" t="b">
        <f t="shared" si="40"/>
        <v>0</v>
      </c>
      <c r="E409" t="str">
        <f t="array" ref="E409:F409">IF(D409=TRUE,LOGEST(D55:M55,$D$1:$M$1,TRUE,FALSE),"")</f>
        <v/>
      </c>
      <c r="F409" t="str">
        <v/>
      </c>
    </row>
    <row r="410" spans="1:6" x14ac:dyDescent="0.25">
      <c r="A410" s="350" t="s">
        <v>1445</v>
      </c>
      <c r="B410" t="s">
        <v>229</v>
      </c>
      <c r="C410" t="s">
        <v>875</v>
      </c>
      <c r="D410" t="b">
        <f t="shared" si="40"/>
        <v>0</v>
      </c>
      <c r="E410" t="str">
        <f t="array" ref="E410:F410">IF(D410=TRUE,LOGEST(D56:M56,$D$1:$M$1,TRUE,FALSE),"")</f>
        <v/>
      </c>
      <c r="F410" t="str">
        <v/>
      </c>
    </row>
    <row r="411" spans="1:6" x14ac:dyDescent="0.25">
      <c r="A411" s="351" t="s">
        <v>1724</v>
      </c>
      <c r="B411" t="s">
        <v>295</v>
      </c>
      <c r="C411" t="s">
        <v>875</v>
      </c>
      <c r="D411" t="b">
        <f t="shared" si="40"/>
        <v>0</v>
      </c>
      <c r="E411" t="str">
        <f t="array" ref="E411:F411">IF(D411=TRUE,LOGEST(D57:M57,$D$1:$M$1,TRUE,FALSE),"")</f>
        <v/>
      </c>
      <c r="F411" t="str">
        <v/>
      </c>
    </row>
    <row r="412" spans="1:6" x14ac:dyDescent="0.25">
      <c r="A412" s="350" t="s">
        <v>1447</v>
      </c>
      <c r="B412" t="s">
        <v>229</v>
      </c>
      <c r="C412" t="s">
        <v>875</v>
      </c>
      <c r="D412" t="b">
        <f t="shared" si="40"/>
        <v>0</v>
      </c>
      <c r="E412" t="str">
        <f t="array" ref="E412:F412">IF(D412=TRUE,LOGEST(D58:M58,$D$1:$M$1,TRUE,FALSE),"")</f>
        <v/>
      </c>
      <c r="F412" t="str">
        <v/>
      </c>
    </row>
    <row r="413" spans="1:6" x14ac:dyDescent="0.25">
      <c r="A413" s="350" t="s">
        <v>1448</v>
      </c>
      <c r="B413" t="s">
        <v>228</v>
      </c>
      <c r="C413" t="s">
        <v>875</v>
      </c>
      <c r="D413" t="b">
        <f t="shared" si="40"/>
        <v>0</v>
      </c>
      <c r="E413" t="str">
        <f t="array" ref="E413:F413">IF(D413=TRUE,LOGEST(D59:M59,$D$1:$M$1,TRUE,FALSE),"")</f>
        <v/>
      </c>
      <c r="F413" t="str">
        <v/>
      </c>
    </row>
    <row r="414" spans="1:6" x14ac:dyDescent="0.25">
      <c r="A414" s="350" t="s">
        <v>1449</v>
      </c>
      <c r="B414" t="s">
        <v>295</v>
      </c>
      <c r="C414" t="s">
        <v>875</v>
      </c>
      <c r="D414" t="b">
        <f t="shared" si="40"/>
        <v>0</v>
      </c>
      <c r="E414" t="str">
        <f t="array" ref="E414:F414">IF(D414=TRUE,LOGEST(D60:M60,$D$1:$M$1,TRUE,FALSE),"")</f>
        <v/>
      </c>
      <c r="F414" t="str">
        <v/>
      </c>
    </row>
    <row r="415" spans="1:6" x14ac:dyDescent="0.25">
      <c r="A415" s="350" t="s">
        <v>1450</v>
      </c>
      <c r="B415" t="s">
        <v>295</v>
      </c>
      <c r="C415" t="s">
        <v>875</v>
      </c>
      <c r="D415" t="b">
        <f t="shared" si="40"/>
        <v>0</v>
      </c>
      <c r="E415" t="str">
        <f t="array" ref="E415:F415">IF(D415=TRUE,LOGEST(D61:M61,$D$1:$M$1,TRUE,FALSE),"")</f>
        <v/>
      </c>
      <c r="F415" t="str">
        <v/>
      </c>
    </row>
    <row r="416" spans="1:6" x14ac:dyDescent="0.25">
      <c r="A416" s="350" t="s">
        <v>1451</v>
      </c>
      <c r="B416" t="s">
        <v>295</v>
      </c>
      <c r="C416" t="s">
        <v>875</v>
      </c>
      <c r="D416" t="b">
        <f t="shared" si="40"/>
        <v>0</v>
      </c>
      <c r="E416" t="str">
        <f t="array" ref="E416:F416">IF(D416=TRUE,LOGEST(D62:M62,$D$1:$M$1,TRUE,FALSE),"")</f>
        <v/>
      </c>
      <c r="F416" t="str">
        <v/>
      </c>
    </row>
    <row r="417" spans="1:6" x14ac:dyDescent="0.25">
      <c r="A417" s="350" t="s">
        <v>1452</v>
      </c>
      <c r="B417" t="s">
        <v>229</v>
      </c>
      <c r="C417" t="s">
        <v>875</v>
      </c>
      <c r="D417" t="b">
        <f t="shared" si="40"/>
        <v>0</v>
      </c>
      <c r="E417" t="str">
        <f t="array" ref="E417:F417">IF(D417=TRUE,LOGEST(D63:M63,$D$1:$M$1,TRUE,FALSE),"")</f>
        <v/>
      </c>
      <c r="F417" t="str">
        <v/>
      </c>
    </row>
    <row r="418" spans="1:6" x14ac:dyDescent="0.25">
      <c r="A418" s="350" t="s">
        <v>1453</v>
      </c>
      <c r="B418" t="s">
        <v>295</v>
      </c>
      <c r="C418" t="s">
        <v>875</v>
      </c>
      <c r="D418" t="b">
        <f t="shared" si="40"/>
        <v>0</v>
      </c>
      <c r="E418" t="str">
        <f t="array" ref="E418:F418">IF(D418=TRUE,LOGEST(D64:M64,$D$1:$M$1,TRUE,FALSE),"")</f>
        <v/>
      </c>
      <c r="F418" t="str">
        <v/>
      </c>
    </row>
    <row r="419" spans="1:6" x14ac:dyDescent="0.25">
      <c r="A419" s="350" t="s">
        <v>1454</v>
      </c>
      <c r="B419" t="s">
        <v>285</v>
      </c>
      <c r="C419" t="s">
        <v>875</v>
      </c>
      <c r="D419" t="b">
        <f t="shared" si="40"/>
        <v>0</v>
      </c>
      <c r="E419" t="str">
        <f t="array" ref="E419:F419">IF(D419=TRUE,LOGEST(D65:M65,$D$1:$M$1,TRUE,FALSE),"")</f>
        <v/>
      </c>
      <c r="F419" t="str">
        <v/>
      </c>
    </row>
    <row r="420" spans="1:6" x14ac:dyDescent="0.25">
      <c r="A420" s="350" t="s">
        <v>1455</v>
      </c>
      <c r="B420" t="s">
        <v>289</v>
      </c>
      <c r="C420" t="s">
        <v>875</v>
      </c>
      <c r="D420" t="b">
        <f t="shared" si="40"/>
        <v>0</v>
      </c>
      <c r="E420" t="str">
        <f t="array" ref="E420:F420">IF(D420=TRUE,LOGEST(D66:M66,$D$1:$M$1,TRUE,FALSE),"")</f>
        <v/>
      </c>
      <c r="F420" t="str">
        <v/>
      </c>
    </row>
    <row r="421" spans="1:6" x14ac:dyDescent="0.25">
      <c r="A421" s="350" t="s">
        <v>1931</v>
      </c>
      <c r="B421" t="s">
        <v>229</v>
      </c>
      <c r="C421" t="s">
        <v>875</v>
      </c>
      <c r="D421" t="b">
        <f t="shared" ref="D421:D484" si="41">IF((N67-D67)&lt;0,TRUE,FALSE)</f>
        <v>1</v>
      </c>
      <c r="E421">
        <f t="array" ref="E421:F421">IF(D421=TRUE,LOGEST(D67:M67,$D$1:$M$1,TRUE,FALSE),"")</f>
        <v>0.9675116894168867</v>
      </c>
      <c r="F421">
        <v>1.1761409822745582E+30</v>
      </c>
    </row>
    <row r="422" spans="1:6" x14ac:dyDescent="0.25">
      <c r="A422" s="350" t="s">
        <v>1456</v>
      </c>
      <c r="B422" t="s">
        <v>289</v>
      </c>
      <c r="C422" t="s">
        <v>875</v>
      </c>
      <c r="D422" t="b">
        <f t="shared" si="41"/>
        <v>0</v>
      </c>
      <c r="E422" t="str">
        <f t="array" ref="E422:F422">IF(D422=TRUE,LOGEST(D68:M68,$D$1:$M$1,TRUE,FALSE),"")</f>
        <v/>
      </c>
      <c r="F422" t="str">
        <v/>
      </c>
    </row>
    <row r="423" spans="1:6" x14ac:dyDescent="0.25">
      <c r="A423" s="350" t="s">
        <v>1457</v>
      </c>
      <c r="B423" t="s">
        <v>295</v>
      </c>
      <c r="C423" t="s">
        <v>875</v>
      </c>
      <c r="D423" t="b">
        <f t="shared" si="41"/>
        <v>0</v>
      </c>
      <c r="E423" t="str">
        <f t="array" ref="E423:F423">IF(D423=TRUE,LOGEST(D69:M69,$D$1:$M$1,TRUE,FALSE),"")</f>
        <v/>
      </c>
      <c r="F423" t="str">
        <v/>
      </c>
    </row>
    <row r="424" spans="1:6" x14ac:dyDescent="0.25">
      <c r="A424" s="350" t="s">
        <v>1718</v>
      </c>
      <c r="B424" t="s">
        <v>295</v>
      </c>
      <c r="C424" t="s">
        <v>875</v>
      </c>
      <c r="D424" t="b">
        <f t="shared" si="41"/>
        <v>0</v>
      </c>
      <c r="E424" t="str">
        <f t="array" ref="E424:F424">IF(D424=TRUE,LOGEST(D70:M70,$D$1:$M$1,TRUE,FALSE),"")</f>
        <v/>
      </c>
      <c r="F424" t="str">
        <v/>
      </c>
    </row>
    <row r="425" spans="1:6" x14ac:dyDescent="0.25">
      <c r="A425" s="350" t="s">
        <v>1719</v>
      </c>
      <c r="B425" t="s">
        <v>295</v>
      </c>
      <c r="C425" t="s">
        <v>875</v>
      </c>
      <c r="D425" t="b">
        <f t="shared" si="41"/>
        <v>0</v>
      </c>
      <c r="E425" t="str">
        <f t="array" ref="E425:F425">IF(D425=TRUE,LOGEST(D71:M71,$D$1:$M$1,TRUE,FALSE),"")</f>
        <v/>
      </c>
      <c r="F425" t="str">
        <v/>
      </c>
    </row>
    <row r="426" spans="1:6" x14ac:dyDescent="0.25">
      <c r="A426" s="350" t="s">
        <v>1720</v>
      </c>
      <c r="B426" t="s">
        <v>295</v>
      </c>
      <c r="C426" t="s">
        <v>875</v>
      </c>
      <c r="D426" t="b">
        <f t="shared" si="41"/>
        <v>0</v>
      </c>
      <c r="E426" t="str">
        <f t="array" ref="E426:F426">IF(D426=TRUE,LOGEST(D72:M72,$D$1:$M$1,TRUE,FALSE),"")</f>
        <v/>
      </c>
      <c r="F426" t="str">
        <v/>
      </c>
    </row>
    <row r="427" spans="1:6" x14ac:dyDescent="0.25">
      <c r="A427" s="350" t="s">
        <v>1721</v>
      </c>
      <c r="B427" t="s">
        <v>295</v>
      </c>
      <c r="C427" t="s">
        <v>875</v>
      </c>
      <c r="D427" t="b">
        <f t="shared" si="41"/>
        <v>0</v>
      </c>
      <c r="E427" t="str">
        <f t="array" ref="E427:F427">IF(D427=TRUE,LOGEST(D73:M73,$D$1:$M$1,TRUE,FALSE),"")</f>
        <v/>
      </c>
      <c r="F427" t="str">
        <v/>
      </c>
    </row>
    <row r="428" spans="1:6" x14ac:dyDescent="0.25">
      <c r="A428" s="350" t="s">
        <v>1723</v>
      </c>
      <c r="B428" t="s">
        <v>295</v>
      </c>
      <c r="C428" t="s">
        <v>875</v>
      </c>
      <c r="D428" t="b">
        <f t="shared" si="41"/>
        <v>0</v>
      </c>
      <c r="E428" t="str">
        <f t="array" ref="E428:F428">IF(D428=TRUE,LOGEST(D74:M74,$D$1:$M$1,TRUE,FALSE),"")</f>
        <v/>
      </c>
      <c r="F428" t="str">
        <v/>
      </c>
    </row>
    <row r="429" spans="1:6" x14ac:dyDescent="0.25">
      <c r="A429" s="350" t="s">
        <v>1439</v>
      </c>
      <c r="B429" t="s">
        <v>1460</v>
      </c>
      <c r="C429" t="s">
        <v>1530</v>
      </c>
      <c r="D429" t="b">
        <f t="shared" si="41"/>
        <v>0</v>
      </c>
      <c r="E429" t="str">
        <f t="array" ref="E429:F429">IF(D429=TRUE,LOGEST(D75:M75,$D$1:$M$1,TRUE,FALSE),"")</f>
        <v/>
      </c>
      <c r="F429" t="str">
        <v/>
      </c>
    </row>
    <row r="430" spans="1:6" x14ac:dyDescent="0.25">
      <c r="A430" s="350" t="s">
        <v>1440</v>
      </c>
      <c r="B430" t="s">
        <v>229</v>
      </c>
      <c r="C430" t="s">
        <v>1530</v>
      </c>
      <c r="D430" t="b">
        <f t="shared" si="41"/>
        <v>0</v>
      </c>
      <c r="E430" t="str">
        <f t="array" ref="E430:F430">IF(D430=TRUE,LOGEST(D76:M76,$D$1:$M$1,TRUE,FALSE),"")</f>
        <v/>
      </c>
      <c r="F430" t="str">
        <v/>
      </c>
    </row>
    <row r="431" spans="1:6" x14ac:dyDescent="0.25">
      <c r="A431" s="351" t="s">
        <v>1725</v>
      </c>
      <c r="B431" t="s">
        <v>295</v>
      </c>
      <c r="C431" t="s">
        <v>1530</v>
      </c>
      <c r="D431" t="b">
        <f t="shared" si="41"/>
        <v>0</v>
      </c>
      <c r="E431" t="str">
        <f t="array" ref="E431:F431">IF(D431=TRUE,LOGEST(D77:M77,$D$1:$M$1,TRUE,FALSE),"")</f>
        <v/>
      </c>
      <c r="F431" t="str">
        <v/>
      </c>
    </row>
    <row r="432" spans="1:6" x14ac:dyDescent="0.25">
      <c r="A432" s="350" t="s">
        <v>1722</v>
      </c>
      <c r="B432" t="s">
        <v>295</v>
      </c>
      <c r="C432" t="s">
        <v>1530</v>
      </c>
      <c r="D432" t="b">
        <f t="shared" si="41"/>
        <v>0</v>
      </c>
      <c r="E432" t="str">
        <f t="array" ref="E432:F432">IF(D432=TRUE,LOGEST(D78:M78,$D$1:$M$1,TRUE,FALSE),"")</f>
        <v/>
      </c>
      <c r="F432" t="str">
        <v/>
      </c>
    </row>
    <row r="433" spans="1:6" x14ac:dyDescent="0.25">
      <c r="A433" s="350" t="s">
        <v>1443</v>
      </c>
      <c r="B433" t="s">
        <v>1461</v>
      </c>
      <c r="C433" t="s">
        <v>1530</v>
      </c>
      <c r="D433" t="b">
        <f t="shared" si="41"/>
        <v>0</v>
      </c>
      <c r="E433" t="str">
        <f t="array" ref="E433:F433">IF(D433=TRUE,LOGEST(D79:M79,$D$1:$M$1,TRUE,FALSE),"")</f>
        <v/>
      </c>
      <c r="F433" t="str">
        <v/>
      </c>
    </row>
    <row r="434" spans="1:6" x14ac:dyDescent="0.25">
      <c r="A434" s="350" t="s">
        <v>1444</v>
      </c>
      <c r="B434" t="s">
        <v>1461</v>
      </c>
      <c r="C434" t="s">
        <v>1530</v>
      </c>
      <c r="D434" t="b">
        <f t="shared" si="41"/>
        <v>0</v>
      </c>
      <c r="E434" t="str">
        <f t="array" ref="E434:F434">IF(D434=TRUE,LOGEST(D80:M80,$D$1:$M$1,TRUE,FALSE),"")</f>
        <v/>
      </c>
      <c r="F434" t="str">
        <v/>
      </c>
    </row>
    <row r="435" spans="1:6" x14ac:dyDescent="0.25">
      <c r="A435" s="350" t="s">
        <v>1445</v>
      </c>
      <c r="B435" t="s">
        <v>229</v>
      </c>
      <c r="C435" t="s">
        <v>1530</v>
      </c>
      <c r="D435" t="b">
        <f t="shared" si="41"/>
        <v>0</v>
      </c>
      <c r="E435" t="str">
        <f t="array" ref="E435:F435">IF(D435=TRUE,LOGEST(D81:M81,$D$1:$M$1,TRUE,FALSE),"")</f>
        <v/>
      </c>
      <c r="F435" t="str">
        <v/>
      </c>
    </row>
    <row r="436" spans="1:6" x14ac:dyDescent="0.25">
      <c r="A436" s="351" t="s">
        <v>1724</v>
      </c>
      <c r="B436" t="s">
        <v>295</v>
      </c>
      <c r="C436" t="s">
        <v>1530</v>
      </c>
      <c r="D436" t="b">
        <f t="shared" si="41"/>
        <v>0</v>
      </c>
      <c r="E436" t="str">
        <f t="array" ref="E436:F436">IF(D436=TRUE,LOGEST(D82:M82,$D$1:$M$1,TRUE,FALSE),"")</f>
        <v/>
      </c>
      <c r="F436" t="str">
        <v/>
      </c>
    </row>
    <row r="437" spans="1:6" x14ac:dyDescent="0.25">
      <c r="A437" s="350" t="s">
        <v>1447</v>
      </c>
      <c r="B437" t="s">
        <v>229</v>
      </c>
      <c r="C437" t="s">
        <v>1530</v>
      </c>
      <c r="D437" t="b">
        <f t="shared" si="41"/>
        <v>0</v>
      </c>
      <c r="E437" t="str">
        <f t="array" ref="E437:F437">IF(D437=TRUE,LOGEST(D83:M83,$D$1:$M$1,TRUE,FALSE),"")</f>
        <v/>
      </c>
      <c r="F437" t="str">
        <v/>
      </c>
    </row>
    <row r="438" spans="1:6" x14ac:dyDescent="0.25">
      <c r="A438" s="350" t="s">
        <v>1448</v>
      </c>
      <c r="B438" t="s">
        <v>228</v>
      </c>
      <c r="C438" t="s">
        <v>1530</v>
      </c>
      <c r="D438" t="b">
        <f t="shared" si="41"/>
        <v>0</v>
      </c>
      <c r="E438" t="str">
        <f t="array" ref="E438:F438">IF(D438=TRUE,LOGEST(D84:M84,$D$1:$M$1,TRUE,FALSE),"")</f>
        <v/>
      </c>
      <c r="F438" t="str">
        <v/>
      </c>
    </row>
    <row r="439" spans="1:6" x14ac:dyDescent="0.25">
      <c r="A439" s="350" t="s">
        <v>1449</v>
      </c>
      <c r="B439" t="s">
        <v>295</v>
      </c>
      <c r="C439" t="s">
        <v>1530</v>
      </c>
      <c r="D439" t="b">
        <f t="shared" si="41"/>
        <v>0</v>
      </c>
      <c r="E439" t="str">
        <f t="array" ref="E439:F439">IF(D439=TRUE,LOGEST(D85:M85,$D$1:$M$1,TRUE,FALSE),"")</f>
        <v/>
      </c>
      <c r="F439" t="str">
        <v/>
      </c>
    </row>
    <row r="440" spans="1:6" x14ac:dyDescent="0.25">
      <c r="A440" s="350" t="s">
        <v>1450</v>
      </c>
      <c r="B440" t="s">
        <v>295</v>
      </c>
      <c r="C440" t="s">
        <v>1530</v>
      </c>
      <c r="D440" t="b">
        <f t="shared" si="41"/>
        <v>0</v>
      </c>
      <c r="E440" t="str">
        <f t="array" ref="E440:F440">IF(D440=TRUE,LOGEST(D86:M86,$D$1:$M$1,TRUE,FALSE),"")</f>
        <v/>
      </c>
      <c r="F440" t="str">
        <v/>
      </c>
    </row>
    <row r="441" spans="1:6" x14ac:dyDescent="0.25">
      <c r="A441" s="350" t="s">
        <v>1451</v>
      </c>
      <c r="B441" t="s">
        <v>295</v>
      </c>
      <c r="C441" t="s">
        <v>1530</v>
      </c>
      <c r="D441" t="b">
        <f t="shared" si="41"/>
        <v>0</v>
      </c>
      <c r="E441" t="str">
        <f t="array" ref="E441:F441">IF(D441=TRUE,LOGEST(D87:M87,$D$1:$M$1,TRUE,FALSE),"")</f>
        <v/>
      </c>
      <c r="F441" t="str">
        <v/>
      </c>
    </row>
    <row r="442" spans="1:6" x14ac:dyDescent="0.25">
      <c r="A442" s="350" t="s">
        <v>1452</v>
      </c>
      <c r="B442" t="s">
        <v>229</v>
      </c>
      <c r="C442" t="s">
        <v>1530</v>
      </c>
      <c r="D442" t="b">
        <f t="shared" si="41"/>
        <v>0</v>
      </c>
      <c r="E442" t="str">
        <f t="array" ref="E442:F442">IF(D442=TRUE,LOGEST(D88:M88,$D$1:$M$1,TRUE,FALSE),"")</f>
        <v/>
      </c>
      <c r="F442" t="str">
        <v/>
      </c>
    </row>
    <row r="443" spans="1:6" x14ac:dyDescent="0.25">
      <c r="A443" s="350" t="s">
        <v>1453</v>
      </c>
      <c r="B443" t="s">
        <v>295</v>
      </c>
      <c r="C443" t="s">
        <v>1530</v>
      </c>
      <c r="D443" t="b">
        <f t="shared" si="41"/>
        <v>0</v>
      </c>
      <c r="E443" t="str">
        <f t="array" ref="E443:F443">IF(D443=TRUE,LOGEST(D89:M89,$D$1:$M$1,TRUE,FALSE),"")</f>
        <v/>
      </c>
      <c r="F443" t="str">
        <v/>
      </c>
    </row>
    <row r="444" spans="1:6" x14ac:dyDescent="0.25">
      <c r="A444" s="350" t="s">
        <v>1454</v>
      </c>
      <c r="B444" t="s">
        <v>285</v>
      </c>
      <c r="C444" t="s">
        <v>1530</v>
      </c>
      <c r="D444" t="b">
        <f t="shared" si="41"/>
        <v>0</v>
      </c>
      <c r="E444" t="str">
        <f t="array" ref="E444:F444">IF(D444=TRUE,LOGEST(D90:M90,$D$1:$M$1,TRUE,FALSE),"")</f>
        <v/>
      </c>
      <c r="F444" t="str">
        <v/>
      </c>
    </row>
    <row r="445" spans="1:6" x14ac:dyDescent="0.25">
      <c r="A445" s="350" t="s">
        <v>1455</v>
      </c>
      <c r="B445" t="s">
        <v>289</v>
      </c>
      <c r="C445" t="s">
        <v>1530</v>
      </c>
      <c r="D445" t="b">
        <f t="shared" si="41"/>
        <v>0</v>
      </c>
      <c r="E445" t="str">
        <f t="array" ref="E445:F445">IF(D445=TRUE,LOGEST(D91:M91,$D$1:$M$1,TRUE,FALSE),"")</f>
        <v/>
      </c>
      <c r="F445" t="str">
        <v/>
      </c>
    </row>
    <row r="446" spans="1:6" x14ac:dyDescent="0.25">
      <c r="A446" s="350" t="s">
        <v>1456</v>
      </c>
      <c r="B446" t="s">
        <v>289</v>
      </c>
      <c r="C446" t="s">
        <v>1530</v>
      </c>
      <c r="D446" t="b">
        <f t="shared" si="41"/>
        <v>0</v>
      </c>
      <c r="E446" t="str">
        <f t="array" ref="E446:F446">IF(D446=TRUE,LOGEST(D92:M92,$D$1:$M$1,TRUE,FALSE),"")</f>
        <v/>
      </c>
      <c r="F446" t="str">
        <v/>
      </c>
    </row>
    <row r="447" spans="1:6" x14ac:dyDescent="0.25">
      <c r="A447" s="350" t="s">
        <v>1457</v>
      </c>
      <c r="B447" t="s">
        <v>295</v>
      </c>
      <c r="C447" t="s">
        <v>1530</v>
      </c>
      <c r="D447" t="b">
        <f t="shared" si="41"/>
        <v>0</v>
      </c>
      <c r="E447" t="str">
        <f t="array" ref="E447:F447">IF(D447=TRUE,LOGEST(D93:M93,$D$1:$M$1,TRUE,FALSE),"")</f>
        <v/>
      </c>
      <c r="F447" t="str">
        <v/>
      </c>
    </row>
    <row r="448" spans="1:6" x14ac:dyDescent="0.25">
      <c r="A448" s="350" t="s">
        <v>1718</v>
      </c>
      <c r="B448" t="s">
        <v>295</v>
      </c>
      <c r="C448" t="s">
        <v>1530</v>
      </c>
      <c r="D448" t="b">
        <f t="shared" si="41"/>
        <v>0</v>
      </c>
      <c r="E448" t="str">
        <f t="array" ref="E448:F448">IF(D448=TRUE,LOGEST(D94:M94,$D$1:$M$1,TRUE,FALSE),"")</f>
        <v/>
      </c>
      <c r="F448" t="str">
        <v/>
      </c>
    </row>
    <row r="449" spans="1:6" x14ac:dyDescent="0.25">
      <c r="A449" s="350" t="s">
        <v>1719</v>
      </c>
      <c r="B449" t="s">
        <v>295</v>
      </c>
      <c r="C449" t="s">
        <v>1530</v>
      </c>
      <c r="D449" t="b">
        <f t="shared" si="41"/>
        <v>0</v>
      </c>
      <c r="E449" t="str">
        <f t="array" ref="E449:F449">IF(D449=TRUE,LOGEST(D95:M95,$D$1:$M$1,TRUE,FALSE),"")</f>
        <v/>
      </c>
      <c r="F449" t="str">
        <v/>
      </c>
    </row>
    <row r="450" spans="1:6" x14ac:dyDescent="0.25">
      <c r="A450" s="350" t="s">
        <v>1720</v>
      </c>
      <c r="B450" t="s">
        <v>295</v>
      </c>
      <c r="C450" t="s">
        <v>1530</v>
      </c>
      <c r="D450" t="b">
        <f t="shared" si="41"/>
        <v>0</v>
      </c>
      <c r="E450" t="str">
        <f t="array" ref="E450:F450">IF(D450=TRUE,LOGEST(D96:M96,$D$1:$M$1,TRUE,FALSE),"")</f>
        <v/>
      </c>
      <c r="F450" t="str">
        <v/>
      </c>
    </row>
    <row r="451" spans="1:6" x14ac:dyDescent="0.25">
      <c r="A451" s="350" t="s">
        <v>1721</v>
      </c>
      <c r="B451" t="s">
        <v>295</v>
      </c>
      <c r="C451" t="s">
        <v>1530</v>
      </c>
      <c r="D451" t="b">
        <f t="shared" si="41"/>
        <v>0</v>
      </c>
      <c r="E451" t="str">
        <f t="array" ref="E451:F451">IF(D451=TRUE,LOGEST(D97:M97,$D$1:$M$1,TRUE,FALSE),"")</f>
        <v/>
      </c>
      <c r="F451" t="str">
        <v/>
      </c>
    </row>
    <row r="452" spans="1:6" x14ac:dyDescent="0.25">
      <c r="A452" s="350" t="s">
        <v>1723</v>
      </c>
      <c r="B452" t="s">
        <v>295</v>
      </c>
      <c r="C452" t="s">
        <v>1530</v>
      </c>
      <c r="D452" t="b">
        <f t="shared" si="41"/>
        <v>0</v>
      </c>
      <c r="E452" t="str">
        <f t="array" ref="E452:F452">IF(D452=TRUE,LOGEST(D98:M98,$D$1:$M$1,TRUE,FALSE),"")</f>
        <v/>
      </c>
      <c r="F452" t="str">
        <v/>
      </c>
    </row>
    <row r="453" spans="1:6" x14ac:dyDescent="0.25">
      <c r="A453" s="350" t="s">
        <v>1439</v>
      </c>
      <c r="B453" t="s">
        <v>1460</v>
      </c>
      <c r="C453" t="s">
        <v>1531</v>
      </c>
      <c r="D453" t="b">
        <f t="shared" si="41"/>
        <v>0</v>
      </c>
      <c r="E453" t="str">
        <f t="array" ref="E453:F453">IF(D453=TRUE,LOGEST(D99:M99,$D$1:$M$1,TRUE,FALSE),"")</f>
        <v/>
      </c>
      <c r="F453" t="str">
        <v/>
      </c>
    </row>
    <row r="454" spans="1:6" x14ac:dyDescent="0.25">
      <c r="A454" s="350" t="s">
        <v>1440</v>
      </c>
      <c r="B454" t="s">
        <v>229</v>
      </c>
      <c r="C454" t="s">
        <v>1531</v>
      </c>
      <c r="D454" t="b">
        <f t="shared" si="41"/>
        <v>0</v>
      </c>
      <c r="E454" t="str">
        <f t="array" ref="E454:F454">IF(D454=TRUE,LOGEST(D100:M100,$D$1:$M$1,TRUE,FALSE),"")</f>
        <v/>
      </c>
      <c r="F454" t="str">
        <v/>
      </c>
    </row>
    <row r="455" spans="1:6" x14ac:dyDescent="0.25">
      <c r="A455" s="351" t="s">
        <v>1725</v>
      </c>
      <c r="B455" t="s">
        <v>295</v>
      </c>
      <c r="C455" t="s">
        <v>1531</v>
      </c>
      <c r="D455" t="b">
        <f t="shared" si="41"/>
        <v>0</v>
      </c>
      <c r="E455" t="str">
        <f t="array" ref="E455:F455">IF(D455=TRUE,LOGEST(D101:M101,$D$1:$M$1,TRUE,FALSE),"")</f>
        <v/>
      </c>
      <c r="F455" t="str">
        <v/>
      </c>
    </row>
    <row r="456" spans="1:6" x14ac:dyDescent="0.25">
      <c r="A456" s="350" t="s">
        <v>1722</v>
      </c>
      <c r="B456" t="s">
        <v>295</v>
      </c>
      <c r="C456" t="s">
        <v>1531</v>
      </c>
      <c r="D456" t="b">
        <f t="shared" si="41"/>
        <v>0</v>
      </c>
      <c r="E456" t="str">
        <f t="array" ref="E456:F456">IF(D456=TRUE,LOGEST(D102:M102,$D$1:$M$1,TRUE,FALSE),"")</f>
        <v/>
      </c>
      <c r="F456" t="str">
        <v/>
      </c>
    </row>
    <row r="457" spans="1:6" x14ac:dyDescent="0.25">
      <c r="A457" s="350" t="s">
        <v>1443</v>
      </c>
      <c r="B457" t="s">
        <v>1461</v>
      </c>
      <c r="C457" t="s">
        <v>1531</v>
      </c>
      <c r="D457" t="b">
        <f t="shared" si="41"/>
        <v>0</v>
      </c>
      <c r="E457" t="str">
        <f t="array" ref="E457:F457">IF(D457=TRUE,LOGEST(D103:M103,$D$1:$M$1,TRUE,FALSE),"")</f>
        <v/>
      </c>
      <c r="F457" t="str">
        <v/>
      </c>
    </row>
    <row r="458" spans="1:6" x14ac:dyDescent="0.25">
      <c r="A458" s="350" t="s">
        <v>1444</v>
      </c>
      <c r="B458" t="s">
        <v>1461</v>
      </c>
      <c r="C458" t="s">
        <v>1531</v>
      </c>
      <c r="D458" t="b">
        <f t="shared" si="41"/>
        <v>0</v>
      </c>
      <c r="E458" t="str">
        <f t="array" ref="E458:F458">IF(D458=TRUE,LOGEST(D104:M104,$D$1:$M$1,TRUE,FALSE),"")</f>
        <v/>
      </c>
      <c r="F458" t="str">
        <v/>
      </c>
    </row>
    <row r="459" spans="1:6" x14ac:dyDescent="0.25">
      <c r="A459" s="350" t="s">
        <v>1445</v>
      </c>
      <c r="B459" t="s">
        <v>229</v>
      </c>
      <c r="C459" t="s">
        <v>1531</v>
      </c>
      <c r="D459" t="b">
        <f t="shared" si="41"/>
        <v>0</v>
      </c>
      <c r="E459" t="str">
        <f t="array" ref="E459:F459">IF(D459=TRUE,LOGEST(D105:M105,$D$1:$M$1,TRUE,FALSE),"")</f>
        <v/>
      </c>
      <c r="F459" t="str">
        <v/>
      </c>
    </row>
    <row r="460" spans="1:6" x14ac:dyDescent="0.25">
      <c r="A460" s="351" t="s">
        <v>1724</v>
      </c>
      <c r="B460" t="s">
        <v>295</v>
      </c>
      <c r="C460" t="s">
        <v>1531</v>
      </c>
      <c r="D460" t="b">
        <f t="shared" si="41"/>
        <v>0</v>
      </c>
      <c r="E460" t="str">
        <f t="array" ref="E460:F460">IF(D460=TRUE,LOGEST(D106:M106,$D$1:$M$1,TRUE,FALSE),"")</f>
        <v/>
      </c>
      <c r="F460" t="str">
        <v/>
      </c>
    </row>
    <row r="461" spans="1:6" x14ac:dyDescent="0.25">
      <c r="A461" s="350" t="s">
        <v>1447</v>
      </c>
      <c r="B461" t="s">
        <v>229</v>
      </c>
      <c r="C461" t="s">
        <v>1531</v>
      </c>
      <c r="D461" t="b">
        <f t="shared" si="41"/>
        <v>0</v>
      </c>
      <c r="E461" t="str">
        <f t="array" ref="E461:F461">IF(D461=TRUE,LOGEST(D107:M107,$D$1:$M$1,TRUE,FALSE),"")</f>
        <v/>
      </c>
      <c r="F461" t="str">
        <v/>
      </c>
    </row>
    <row r="462" spans="1:6" x14ac:dyDescent="0.25">
      <c r="A462" s="350" t="s">
        <v>1448</v>
      </c>
      <c r="B462" t="s">
        <v>228</v>
      </c>
      <c r="C462" t="s">
        <v>1531</v>
      </c>
      <c r="D462" t="b">
        <f t="shared" si="41"/>
        <v>0</v>
      </c>
      <c r="E462" t="str">
        <f t="array" ref="E462:F462">IF(D462=TRUE,LOGEST(D108:M108,$D$1:$M$1,TRUE,FALSE),"")</f>
        <v/>
      </c>
      <c r="F462" t="str">
        <v/>
      </c>
    </row>
    <row r="463" spans="1:6" x14ac:dyDescent="0.25">
      <c r="A463" s="350" t="s">
        <v>1449</v>
      </c>
      <c r="B463" t="s">
        <v>295</v>
      </c>
      <c r="C463" t="s">
        <v>1531</v>
      </c>
      <c r="D463" t="b">
        <f t="shared" si="41"/>
        <v>0</v>
      </c>
      <c r="E463" t="str">
        <f t="array" ref="E463:F463">IF(D463=TRUE,LOGEST(D109:M109,$D$1:$M$1,TRUE,FALSE),"")</f>
        <v/>
      </c>
      <c r="F463" t="str">
        <v/>
      </c>
    </row>
    <row r="464" spans="1:6" x14ac:dyDescent="0.25">
      <c r="A464" s="350" t="s">
        <v>1450</v>
      </c>
      <c r="B464" t="s">
        <v>295</v>
      </c>
      <c r="C464" t="s">
        <v>1531</v>
      </c>
      <c r="D464" t="b">
        <f t="shared" si="41"/>
        <v>0</v>
      </c>
      <c r="E464" t="str">
        <f t="array" ref="E464:F464">IF(D464=TRUE,LOGEST(D110:M110,$D$1:$M$1,TRUE,FALSE),"")</f>
        <v/>
      </c>
      <c r="F464" t="str">
        <v/>
      </c>
    </row>
    <row r="465" spans="1:6" x14ac:dyDescent="0.25">
      <c r="A465" s="350" t="s">
        <v>1451</v>
      </c>
      <c r="B465" t="s">
        <v>295</v>
      </c>
      <c r="C465" t="s">
        <v>1531</v>
      </c>
      <c r="D465" t="b">
        <f t="shared" si="41"/>
        <v>0</v>
      </c>
      <c r="E465" t="str">
        <f t="array" ref="E465:F465">IF(D465=TRUE,LOGEST(D111:M111,$D$1:$M$1,TRUE,FALSE),"")</f>
        <v/>
      </c>
      <c r="F465" t="str">
        <v/>
      </c>
    </row>
    <row r="466" spans="1:6" x14ac:dyDescent="0.25">
      <c r="A466" s="350" t="s">
        <v>1452</v>
      </c>
      <c r="B466" t="s">
        <v>229</v>
      </c>
      <c r="C466" t="s">
        <v>1531</v>
      </c>
      <c r="D466" t="b">
        <f t="shared" si="41"/>
        <v>0</v>
      </c>
      <c r="E466" t="str">
        <f t="array" ref="E466:F466">IF(D466=TRUE,LOGEST(D112:M112,$D$1:$M$1,TRUE,FALSE),"")</f>
        <v/>
      </c>
      <c r="F466" t="str">
        <v/>
      </c>
    </row>
    <row r="467" spans="1:6" x14ac:dyDescent="0.25">
      <c r="A467" s="350" t="s">
        <v>1453</v>
      </c>
      <c r="B467" t="s">
        <v>295</v>
      </c>
      <c r="C467" t="s">
        <v>1531</v>
      </c>
      <c r="D467" t="b">
        <f t="shared" si="41"/>
        <v>0</v>
      </c>
      <c r="E467" t="str">
        <f t="array" ref="E467:F467">IF(D467=TRUE,LOGEST(D113:M113,$D$1:$M$1,TRUE,FALSE),"")</f>
        <v/>
      </c>
      <c r="F467" t="str">
        <v/>
      </c>
    </row>
    <row r="468" spans="1:6" x14ac:dyDescent="0.25">
      <c r="A468" s="350" t="s">
        <v>1454</v>
      </c>
      <c r="B468" t="s">
        <v>285</v>
      </c>
      <c r="C468" t="s">
        <v>1531</v>
      </c>
      <c r="D468" t="b">
        <f t="shared" si="41"/>
        <v>0</v>
      </c>
      <c r="E468" t="str">
        <f t="array" ref="E468:F468">IF(D468=TRUE,LOGEST(D114:M114,$D$1:$M$1,TRUE,FALSE),"")</f>
        <v/>
      </c>
      <c r="F468" t="str">
        <v/>
      </c>
    </row>
    <row r="469" spans="1:6" x14ac:dyDescent="0.25">
      <c r="A469" s="350" t="s">
        <v>1455</v>
      </c>
      <c r="B469" t="s">
        <v>289</v>
      </c>
      <c r="C469" t="s">
        <v>1531</v>
      </c>
      <c r="D469" t="b">
        <f t="shared" si="41"/>
        <v>0</v>
      </c>
      <c r="E469" t="str">
        <f t="array" ref="E469:F469">IF(D469=TRUE,LOGEST(D115:M115,$D$1:$M$1,TRUE,FALSE),"")</f>
        <v/>
      </c>
      <c r="F469" t="str">
        <v/>
      </c>
    </row>
    <row r="470" spans="1:6" x14ac:dyDescent="0.25">
      <c r="A470" s="350" t="s">
        <v>1456</v>
      </c>
      <c r="B470" t="s">
        <v>289</v>
      </c>
      <c r="C470" t="s">
        <v>1531</v>
      </c>
      <c r="D470" t="b">
        <f t="shared" si="41"/>
        <v>0</v>
      </c>
      <c r="E470" t="str">
        <f t="array" ref="E470:F470">IF(D470=TRUE,LOGEST(D116:M116,$D$1:$M$1,TRUE,FALSE),"")</f>
        <v/>
      </c>
      <c r="F470" t="str">
        <v/>
      </c>
    </row>
    <row r="471" spans="1:6" x14ac:dyDescent="0.25">
      <c r="A471" s="350" t="s">
        <v>1457</v>
      </c>
      <c r="B471" t="s">
        <v>295</v>
      </c>
      <c r="C471" t="s">
        <v>1531</v>
      </c>
      <c r="D471" t="b">
        <f t="shared" si="41"/>
        <v>0</v>
      </c>
      <c r="E471" t="str">
        <f t="array" ref="E471:F471">IF(D471=TRUE,LOGEST(D117:M117,$D$1:$M$1,TRUE,FALSE),"")</f>
        <v/>
      </c>
      <c r="F471" t="str">
        <v/>
      </c>
    </row>
    <row r="472" spans="1:6" x14ac:dyDescent="0.25">
      <c r="A472" s="350" t="s">
        <v>1718</v>
      </c>
      <c r="B472" t="s">
        <v>295</v>
      </c>
      <c r="D472" t="b">
        <f t="shared" si="41"/>
        <v>0</v>
      </c>
      <c r="E472" t="str">
        <f t="array" ref="E472:F472">IF(D472=TRUE,LOGEST(D118:M118,$D$1:$M$1,TRUE,FALSE),"")</f>
        <v/>
      </c>
      <c r="F472" t="str">
        <v/>
      </c>
    </row>
    <row r="473" spans="1:6" x14ac:dyDescent="0.25">
      <c r="A473" s="350" t="s">
        <v>1719</v>
      </c>
      <c r="B473" t="s">
        <v>295</v>
      </c>
      <c r="D473" t="b">
        <f t="shared" si="41"/>
        <v>0</v>
      </c>
      <c r="E473" t="str">
        <f t="array" ref="E473:F473">IF(D473=TRUE,LOGEST(D119:M119,$D$1:$M$1,TRUE,FALSE),"")</f>
        <v/>
      </c>
      <c r="F473" t="str">
        <v/>
      </c>
    </row>
    <row r="474" spans="1:6" x14ac:dyDescent="0.25">
      <c r="A474" s="350" t="s">
        <v>1720</v>
      </c>
      <c r="B474" t="s">
        <v>295</v>
      </c>
      <c r="D474" t="b">
        <f t="shared" si="41"/>
        <v>0</v>
      </c>
      <c r="E474" t="str">
        <f t="array" ref="E474:F474">IF(D474=TRUE,LOGEST(D120:M120,$D$1:$M$1,TRUE,FALSE),"")</f>
        <v/>
      </c>
      <c r="F474" t="str">
        <v/>
      </c>
    </row>
    <row r="475" spans="1:6" x14ac:dyDescent="0.25">
      <c r="A475" s="350" t="s">
        <v>1721</v>
      </c>
      <c r="B475" t="s">
        <v>295</v>
      </c>
      <c r="D475" t="b">
        <f t="shared" si="41"/>
        <v>0</v>
      </c>
      <c r="E475" t="str">
        <f t="array" ref="E475:F475">IF(D475=TRUE,LOGEST(D121:M121,$D$1:$M$1,TRUE,FALSE),"")</f>
        <v/>
      </c>
      <c r="F475" t="str">
        <v/>
      </c>
    </row>
    <row r="476" spans="1:6" x14ac:dyDescent="0.25">
      <c r="A476" s="350" t="s">
        <v>1723</v>
      </c>
      <c r="B476" t="s">
        <v>295</v>
      </c>
      <c r="D476" t="b">
        <f t="shared" si="41"/>
        <v>0</v>
      </c>
      <c r="E476" t="str">
        <f t="array" ref="E476:F476">IF(D476=TRUE,LOGEST(D122:M122,$D$1:$M$1,TRUE,FALSE),"")</f>
        <v/>
      </c>
      <c r="F476" t="str">
        <v/>
      </c>
    </row>
    <row r="477" spans="1:6" x14ac:dyDescent="0.25">
      <c r="A477" s="350" t="s">
        <v>1439</v>
      </c>
      <c r="B477" t="s">
        <v>1460</v>
      </c>
      <c r="C477" t="s">
        <v>1532</v>
      </c>
      <c r="D477" t="b">
        <f t="shared" si="41"/>
        <v>0</v>
      </c>
      <c r="E477" t="str">
        <f t="array" ref="E477:F477">IF(D477=TRUE,LOGEST(D123:M123,$D$1:$M$1,TRUE,FALSE),"")</f>
        <v/>
      </c>
      <c r="F477" t="str">
        <v/>
      </c>
    </row>
    <row r="478" spans="1:6" x14ac:dyDescent="0.25">
      <c r="A478" s="350" t="s">
        <v>1440</v>
      </c>
      <c r="B478" t="s">
        <v>229</v>
      </c>
      <c r="C478" t="s">
        <v>1532</v>
      </c>
      <c r="D478" t="b">
        <f t="shared" si="41"/>
        <v>0</v>
      </c>
      <c r="E478" t="str">
        <f t="array" ref="E478:F478">IF(D478=TRUE,LOGEST(D124:M124,$D$1:$M$1,TRUE,FALSE),"")</f>
        <v/>
      </c>
      <c r="F478" t="str">
        <v/>
      </c>
    </row>
    <row r="479" spans="1:6" x14ac:dyDescent="0.25">
      <c r="A479" s="351" t="s">
        <v>1725</v>
      </c>
      <c r="B479" t="s">
        <v>295</v>
      </c>
      <c r="C479" t="s">
        <v>1532</v>
      </c>
      <c r="D479" t="b">
        <f t="shared" si="41"/>
        <v>0</v>
      </c>
      <c r="E479" t="str">
        <f t="array" ref="E479:F479">IF(D479=TRUE,LOGEST(D125:M125,$D$1:$M$1,TRUE,FALSE),"")</f>
        <v/>
      </c>
      <c r="F479" t="str">
        <v/>
      </c>
    </row>
    <row r="480" spans="1:6" x14ac:dyDescent="0.25">
      <c r="A480" s="350" t="s">
        <v>1722</v>
      </c>
      <c r="B480" t="s">
        <v>295</v>
      </c>
      <c r="C480" t="s">
        <v>1532</v>
      </c>
      <c r="D480" t="b">
        <f t="shared" si="41"/>
        <v>0</v>
      </c>
      <c r="E480" t="str">
        <f t="array" ref="E480:F480">IF(D480=TRUE,LOGEST(D126:M126,$D$1:$M$1,TRUE,FALSE),"")</f>
        <v/>
      </c>
      <c r="F480" t="str">
        <v/>
      </c>
    </row>
    <row r="481" spans="1:6" x14ac:dyDescent="0.25">
      <c r="A481" s="350" t="s">
        <v>1443</v>
      </c>
      <c r="B481" t="s">
        <v>1461</v>
      </c>
      <c r="C481" t="s">
        <v>1532</v>
      </c>
      <c r="D481" t="b">
        <f t="shared" si="41"/>
        <v>0</v>
      </c>
      <c r="E481" t="str">
        <f t="array" ref="E481:F481">IF(D481=TRUE,LOGEST(D127:M127,$D$1:$M$1,TRUE,FALSE),"")</f>
        <v/>
      </c>
      <c r="F481" t="str">
        <v/>
      </c>
    </row>
    <row r="482" spans="1:6" x14ac:dyDescent="0.25">
      <c r="A482" s="350" t="s">
        <v>1444</v>
      </c>
      <c r="B482" t="s">
        <v>1461</v>
      </c>
      <c r="C482" t="s">
        <v>1532</v>
      </c>
      <c r="D482" t="b">
        <f t="shared" si="41"/>
        <v>0</v>
      </c>
      <c r="E482" t="str">
        <f t="array" ref="E482:F482">IF(D482=TRUE,LOGEST(D128:M128,$D$1:$M$1,TRUE,FALSE),"")</f>
        <v/>
      </c>
      <c r="F482" t="str">
        <v/>
      </c>
    </row>
    <row r="483" spans="1:6" x14ac:dyDescent="0.25">
      <c r="A483" s="350" t="s">
        <v>1445</v>
      </c>
      <c r="B483" t="s">
        <v>229</v>
      </c>
      <c r="C483" t="s">
        <v>1532</v>
      </c>
      <c r="D483" t="b">
        <f t="shared" si="41"/>
        <v>0</v>
      </c>
      <c r="E483" t="str">
        <f t="array" ref="E483:F483">IF(D483=TRUE,LOGEST(D129:M129,$D$1:$M$1,TRUE,FALSE),"")</f>
        <v/>
      </c>
      <c r="F483" t="str">
        <v/>
      </c>
    </row>
    <row r="484" spans="1:6" x14ac:dyDescent="0.25">
      <c r="A484" s="351" t="s">
        <v>1724</v>
      </c>
      <c r="B484" t="s">
        <v>295</v>
      </c>
      <c r="C484" t="s">
        <v>1532</v>
      </c>
      <c r="D484" t="b">
        <f t="shared" si="41"/>
        <v>0</v>
      </c>
      <c r="E484" t="str">
        <f t="array" ref="E484:F484">IF(D484=TRUE,LOGEST(D130:M130,$D$1:$M$1,TRUE,FALSE),"")</f>
        <v/>
      </c>
      <c r="F484" t="str">
        <v/>
      </c>
    </row>
    <row r="485" spans="1:6" x14ac:dyDescent="0.25">
      <c r="A485" s="350" t="s">
        <v>1447</v>
      </c>
      <c r="B485" t="s">
        <v>229</v>
      </c>
      <c r="C485" t="s">
        <v>1532</v>
      </c>
      <c r="D485" t="b">
        <f t="shared" ref="D485:D522" si="42">IF((N131-D131)&lt;0,TRUE,FALSE)</f>
        <v>0</v>
      </c>
      <c r="E485" t="str">
        <f t="array" ref="E485:F485">IF(D485=TRUE,LOGEST(D131:M131,$D$1:$M$1,TRUE,FALSE),"")</f>
        <v/>
      </c>
      <c r="F485" t="str">
        <v/>
      </c>
    </row>
    <row r="486" spans="1:6" x14ac:dyDescent="0.25">
      <c r="A486" s="350" t="s">
        <v>1448</v>
      </c>
      <c r="B486" t="s">
        <v>228</v>
      </c>
      <c r="C486" t="s">
        <v>1532</v>
      </c>
      <c r="D486" t="b">
        <f t="shared" si="42"/>
        <v>0</v>
      </c>
      <c r="E486" t="str">
        <f t="array" ref="E486:F486">IF(D486=TRUE,LOGEST(D132:M132,$D$1:$M$1,TRUE,FALSE),"")</f>
        <v/>
      </c>
      <c r="F486" t="str">
        <v/>
      </c>
    </row>
    <row r="487" spans="1:6" x14ac:dyDescent="0.25">
      <c r="A487" s="350" t="s">
        <v>1449</v>
      </c>
      <c r="B487" t="s">
        <v>295</v>
      </c>
      <c r="C487" t="s">
        <v>1532</v>
      </c>
      <c r="D487" t="b">
        <f t="shared" si="42"/>
        <v>0</v>
      </c>
      <c r="E487" t="str">
        <f t="array" ref="E487:F487">IF(D487=TRUE,LOGEST(D133:M133,$D$1:$M$1,TRUE,FALSE),"")</f>
        <v/>
      </c>
      <c r="F487" t="str">
        <v/>
      </c>
    </row>
    <row r="488" spans="1:6" x14ac:dyDescent="0.25">
      <c r="A488" s="350" t="s">
        <v>1450</v>
      </c>
      <c r="B488" t="s">
        <v>295</v>
      </c>
      <c r="C488" t="s">
        <v>1532</v>
      </c>
      <c r="D488" t="b">
        <f t="shared" si="42"/>
        <v>0</v>
      </c>
      <c r="E488" t="str">
        <f t="array" ref="E488:F488">IF(D488=TRUE,LOGEST(D134:M134,$D$1:$M$1,TRUE,FALSE),"")</f>
        <v/>
      </c>
      <c r="F488" t="str">
        <v/>
      </c>
    </row>
    <row r="489" spans="1:6" x14ac:dyDescent="0.25">
      <c r="A489" s="350" t="s">
        <v>1451</v>
      </c>
      <c r="B489" t="s">
        <v>295</v>
      </c>
      <c r="C489" t="s">
        <v>1532</v>
      </c>
      <c r="D489" t="b">
        <f t="shared" si="42"/>
        <v>0</v>
      </c>
      <c r="E489" t="str">
        <f t="array" ref="E489:F489">IF(D489=TRUE,LOGEST(D135:M135,$D$1:$M$1,TRUE,FALSE),"")</f>
        <v/>
      </c>
      <c r="F489" t="str">
        <v/>
      </c>
    </row>
    <row r="490" spans="1:6" x14ac:dyDescent="0.25">
      <c r="A490" s="350" t="s">
        <v>1452</v>
      </c>
      <c r="B490" t="s">
        <v>229</v>
      </c>
      <c r="C490" t="s">
        <v>1532</v>
      </c>
      <c r="D490" t="b">
        <f t="shared" si="42"/>
        <v>0</v>
      </c>
      <c r="E490" t="str">
        <f t="array" ref="E490:F490">IF(D490=TRUE,LOGEST(D136:M136,$D$1:$M$1,TRUE,FALSE),"")</f>
        <v/>
      </c>
      <c r="F490" t="str">
        <v/>
      </c>
    </row>
    <row r="491" spans="1:6" x14ac:dyDescent="0.25">
      <c r="A491" s="350" t="s">
        <v>1453</v>
      </c>
      <c r="B491" t="s">
        <v>295</v>
      </c>
      <c r="C491" t="s">
        <v>1532</v>
      </c>
      <c r="D491" t="b">
        <f t="shared" si="42"/>
        <v>0</v>
      </c>
      <c r="E491" t="str">
        <f t="array" ref="E491:F491">IF(D491=TRUE,LOGEST(D137:M137,$D$1:$M$1,TRUE,FALSE),"")</f>
        <v/>
      </c>
      <c r="F491" t="str">
        <v/>
      </c>
    </row>
    <row r="492" spans="1:6" x14ac:dyDescent="0.25">
      <c r="A492" s="350" t="s">
        <v>1454</v>
      </c>
      <c r="B492" t="s">
        <v>285</v>
      </c>
      <c r="C492" t="s">
        <v>1532</v>
      </c>
      <c r="D492" t="b">
        <f t="shared" si="42"/>
        <v>0</v>
      </c>
      <c r="E492" t="str">
        <f t="array" ref="E492:F492">IF(D492=TRUE,LOGEST(D138:M138,$D$1:$M$1,TRUE,FALSE),"")</f>
        <v/>
      </c>
      <c r="F492" t="str">
        <v/>
      </c>
    </row>
    <row r="493" spans="1:6" x14ac:dyDescent="0.25">
      <c r="A493" s="350" t="s">
        <v>1455</v>
      </c>
      <c r="B493" t="s">
        <v>289</v>
      </c>
      <c r="C493" t="s">
        <v>1532</v>
      </c>
      <c r="D493" t="b">
        <f t="shared" si="42"/>
        <v>0</v>
      </c>
      <c r="E493" t="str">
        <f t="array" ref="E493:F493">IF(D493=TRUE,LOGEST(D139:M139,$D$1:$M$1,TRUE,FALSE),"")</f>
        <v/>
      </c>
      <c r="F493" t="str">
        <v/>
      </c>
    </row>
    <row r="494" spans="1:6" x14ac:dyDescent="0.25">
      <c r="A494" s="350" t="s">
        <v>1456</v>
      </c>
      <c r="B494" t="s">
        <v>289</v>
      </c>
      <c r="C494" t="s">
        <v>1532</v>
      </c>
      <c r="D494" t="b">
        <f t="shared" si="42"/>
        <v>0</v>
      </c>
      <c r="E494" t="str">
        <f t="array" ref="E494:F494">IF(D494=TRUE,LOGEST(D140:M140,$D$1:$M$1,TRUE,FALSE),"")</f>
        <v/>
      </c>
      <c r="F494" t="str">
        <v/>
      </c>
    </row>
    <row r="495" spans="1:6" x14ac:dyDescent="0.25">
      <c r="A495" s="350" t="s">
        <v>1457</v>
      </c>
      <c r="B495" t="s">
        <v>295</v>
      </c>
      <c r="C495" t="s">
        <v>1532</v>
      </c>
      <c r="D495" t="b">
        <f t="shared" si="42"/>
        <v>0</v>
      </c>
      <c r="E495" t="str">
        <f t="array" ref="E495:F495">IF(D495=TRUE,LOGEST(D141:M141,$D$1:$M$1,TRUE,FALSE),"")</f>
        <v/>
      </c>
      <c r="F495" t="str">
        <v/>
      </c>
    </row>
    <row r="496" spans="1:6" x14ac:dyDescent="0.25">
      <c r="A496" s="350" t="s">
        <v>1718</v>
      </c>
      <c r="B496" t="s">
        <v>295</v>
      </c>
      <c r="C496" t="s">
        <v>1532</v>
      </c>
      <c r="D496" t="b">
        <f t="shared" si="42"/>
        <v>0</v>
      </c>
      <c r="E496" t="str">
        <f t="array" ref="E496:F496">IF(D496=TRUE,LOGEST(D142:M142,$D$1:$M$1,TRUE,FALSE),"")</f>
        <v/>
      </c>
      <c r="F496" t="str">
        <v/>
      </c>
    </row>
    <row r="497" spans="1:6" x14ac:dyDescent="0.25">
      <c r="A497" s="350" t="s">
        <v>1719</v>
      </c>
      <c r="B497" t="s">
        <v>295</v>
      </c>
      <c r="C497" t="s">
        <v>1532</v>
      </c>
      <c r="D497" t="b">
        <f t="shared" si="42"/>
        <v>0</v>
      </c>
      <c r="E497" t="str">
        <f t="array" ref="E497:F497">IF(D497=TRUE,LOGEST(D143:M143,$D$1:$M$1,TRUE,FALSE),"")</f>
        <v/>
      </c>
      <c r="F497" t="str">
        <v/>
      </c>
    </row>
    <row r="498" spans="1:6" x14ac:dyDescent="0.25">
      <c r="A498" s="350" t="s">
        <v>1720</v>
      </c>
      <c r="B498" t="s">
        <v>295</v>
      </c>
      <c r="C498" t="s">
        <v>1532</v>
      </c>
      <c r="D498" t="b">
        <f t="shared" si="42"/>
        <v>0</v>
      </c>
      <c r="E498" t="str">
        <f t="array" ref="E498:F498">IF(D498=TRUE,LOGEST(D144:M144,$D$1:$M$1,TRUE,FALSE),"")</f>
        <v/>
      </c>
      <c r="F498" t="str">
        <v/>
      </c>
    </row>
    <row r="499" spans="1:6" x14ac:dyDescent="0.25">
      <c r="A499" s="350" t="s">
        <v>1721</v>
      </c>
      <c r="B499" t="s">
        <v>295</v>
      </c>
      <c r="C499" t="s">
        <v>1532</v>
      </c>
      <c r="D499" t="b">
        <f t="shared" si="42"/>
        <v>0</v>
      </c>
      <c r="E499" t="str">
        <f t="array" ref="E499:F499">IF(D499=TRUE,LOGEST(D145:M145,$D$1:$M$1,TRUE,FALSE),"")</f>
        <v/>
      </c>
      <c r="F499" t="str">
        <v/>
      </c>
    </row>
    <row r="500" spans="1:6" x14ac:dyDescent="0.25">
      <c r="A500" s="350" t="s">
        <v>1439</v>
      </c>
      <c r="B500" t="s">
        <v>1460</v>
      </c>
      <c r="C500" t="s">
        <v>1533</v>
      </c>
      <c r="D500" t="b">
        <f t="shared" si="42"/>
        <v>0</v>
      </c>
      <c r="E500" t="str">
        <f t="array" ref="E500:F500">IF(D500=TRUE,LOGEST(D146:M146,$D$1:$M$1,TRUE,FALSE),"")</f>
        <v/>
      </c>
      <c r="F500" t="str">
        <v/>
      </c>
    </row>
    <row r="501" spans="1:6" x14ac:dyDescent="0.25">
      <c r="A501" s="350" t="s">
        <v>1440</v>
      </c>
      <c r="B501" t="s">
        <v>229</v>
      </c>
      <c r="C501" t="s">
        <v>1533</v>
      </c>
      <c r="D501" t="b">
        <f t="shared" si="42"/>
        <v>0</v>
      </c>
      <c r="E501" t="str">
        <f t="array" ref="E501:F501">IF(D501=TRUE,LOGEST(D147:M147,$D$1:$M$1,TRUE,FALSE),"")</f>
        <v/>
      </c>
      <c r="F501" t="str">
        <v/>
      </c>
    </row>
    <row r="502" spans="1:6" x14ac:dyDescent="0.25">
      <c r="A502" s="351" t="s">
        <v>1725</v>
      </c>
      <c r="B502" t="s">
        <v>295</v>
      </c>
      <c r="C502" t="s">
        <v>1533</v>
      </c>
      <c r="D502" t="b">
        <f t="shared" si="42"/>
        <v>0</v>
      </c>
      <c r="E502" t="str">
        <f t="array" ref="E502:F502">IF(D502=TRUE,LOGEST(D148:M148,$D$1:$M$1,TRUE,FALSE),"")</f>
        <v/>
      </c>
      <c r="F502" t="str">
        <v/>
      </c>
    </row>
    <row r="503" spans="1:6" x14ac:dyDescent="0.25">
      <c r="A503" s="350" t="s">
        <v>1722</v>
      </c>
      <c r="B503" t="s">
        <v>295</v>
      </c>
      <c r="C503" t="s">
        <v>1533</v>
      </c>
      <c r="D503" t="b">
        <f t="shared" si="42"/>
        <v>0</v>
      </c>
      <c r="E503" t="str">
        <f t="array" ref="E503:F503">IF(D503=TRUE,LOGEST(D149:M149,$D$1:$M$1,TRUE,FALSE),"")</f>
        <v/>
      </c>
      <c r="F503" t="str">
        <v/>
      </c>
    </row>
    <row r="504" spans="1:6" x14ac:dyDescent="0.25">
      <c r="A504" s="350" t="s">
        <v>1443</v>
      </c>
      <c r="B504" t="s">
        <v>1461</v>
      </c>
      <c r="C504" t="s">
        <v>1533</v>
      </c>
      <c r="D504" t="b">
        <f t="shared" si="42"/>
        <v>0</v>
      </c>
      <c r="E504" t="str">
        <f t="array" ref="E504:F504">IF(D504=TRUE,LOGEST(D150:M150,$D$1:$M$1,TRUE,FALSE),"")</f>
        <v/>
      </c>
      <c r="F504" t="str">
        <v/>
      </c>
    </row>
    <row r="505" spans="1:6" x14ac:dyDescent="0.25">
      <c r="A505" s="350" t="s">
        <v>1444</v>
      </c>
      <c r="B505" t="s">
        <v>1461</v>
      </c>
      <c r="C505" t="s">
        <v>1533</v>
      </c>
      <c r="D505" t="b">
        <f t="shared" si="42"/>
        <v>0</v>
      </c>
      <c r="E505" t="str">
        <f t="array" ref="E505:F505">IF(D505=TRUE,LOGEST(D151:M151,$D$1:$M$1,TRUE,FALSE),"")</f>
        <v/>
      </c>
      <c r="F505" t="str">
        <v/>
      </c>
    </row>
    <row r="506" spans="1:6" x14ac:dyDescent="0.25">
      <c r="A506" s="350" t="s">
        <v>1445</v>
      </c>
      <c r="B506" t="s">
        <v>229</v>
      </c>
      <c r="C506" t="s">
        <v>1533</v>
      </c>
      <c r="D506" t="b">
        <f t="shared" si="42"/>
        <v>0</v>
      </c>
      <c r="E506" t="str">
        <f t="array" ref="E506:F506">IF(D506=TRUE,LOGEST(D152:M152,$D$1:$M$1,TRUE,FALSE),"")</f>
        <v/>
      </c>
      <c r="F506" t="str">
        <v/>
      </c>
    </row>
    <row r="507" spans="1:6" x14ac:dyDescent="0.25">
      <c r="A507" s="351" t="s">
        <v>1724</v>
      </c>
      <c r="B507" t="s">
        <v>295</v>
      </c>
      <c r="C507" t="s">
        <v>1533</v>
      </c>
      <c r="D507" t="b">
        <f t="shared" si="42"/>
        <v>0</v>
      </c>
      <c r="E507" t="str">
        <f t="array" ref="E507:F507">IF(D507=TRUE,LOGEST(D153:M153,$D$1:$M$1,TRUE,FALSE),"")</f>
        <v/>
      </c>
      <c r="F507" t="str">
        <v/>
      </c>
    </row>
    <row r="508" spans="1:6" x14ac:dyDescent="0.25">
      <c r="A508" s="350" t="s">
        <v>1447</v>
      </c>
      <c r="B508" t="s">
        <v>229</v>
      </c>
      <c r="C508" t="s">
        <v>1533</v>
      </c>
      <c r="D508" t="b">
        <f t="shared" si="42"/>
        <v>0</v>
      </c>
      <c r="E508" t="str">
        <f t="array" ref="E508:F508">IF(D508=TRUE,LOGEST(D154:M154,$D$1:$M$1,TRUE,FALSE),"")</f>
        <v/>
      </c>
      <c r="F508" t="str">
        <v/>
      </c>
    </row>
    <row r="509" spans="1:6" x14ac:dyDescent="0.25">
      <c r="A509" s="350" t="s">
        <v>1448</v>
      </c>
      <c r="B509" t="s">
        <v>228</v>
      </c>
      <c r="C509" t="s">
        <v>1533</v>
      </c>
      <c r="D509" t="b">
        <f t="shared" si="42"/>
        <v>0</v>
      </c>
      <c r="E509" t="str">
        <f t="array" ref="E509:F509">IF(D509=TRUE,LOGEST(D155:M155,$D$1:$M$1,TRUE,FALSE),"")</f>
        <v/>
      </c>
      <c r="F509" t="str">
        <v/>
      </c>
    </row>
    <row r="510" spans="1:6" x14ac:dyDescent="0.25">
      <c r="A510" s="350" t="s">
        <v>1449</v>
      </c>
      <c r="B510" t="s">
        <v>295</v>
      </c>
      <c r="C510" t="s">
        <v>1533</v>
      </c>
      <c r="D510" t="b">
        <f t="shared" si="42"/>
        <v>0</v>
      </c>
      <c r="E510" t="str">
        <f t="array" ref="E510:F510">IF(D510=TRUE,LOGEST(D156:M156,$D$1:$M$1,TRUE,FALSE),"")</f>
        <v/>
      </c>
      <c r="F510" t="str">
        <v/>
      </c>
    </row>
    <row r="511" spans="1:6" x14ac:dyDescent="0.25">
      <c r="A511" s="350" t="s">
        <v>1450</v>
      </c>
      <c r="B511" t="s">
        <v>295</v>
      </c>
      <c r="C511" t="s">
        <v>1533</v>
      </c>
      <c r="D511" t="b">
        <f t="shared" si="42"/>
        <v>0</v>
      </c>
      <c r="E511" t="str">
        <f t="array" ref="E511:F511">IF(D511=TRUE,LOGEST(D157:M157,$D$1:$M$1,TRUE,FALSE),"")</f>
        <v/>
      </c>
      <c r="F511" t="str">
        <v/>
      </c>
    </row>
    <row r="512" spans="1:6" x14ac:dyDescent="0.25">
      <c r="A512" s="350" t="s">
        <v>1451</v>
      </c>
      <c r="B512" t="s">
        <v>295</v>
      </c>
      <c r="C512" t="s">
        <v>1533</v>
      </c>
      <c r="D512" t="b">
        <f t="shared" si="42"/>
        <v>0</v>
      </c>
      <c r="E512" t="str">
        <f t="array" ref="E512:F512">IF(D512=TRUE,LOGEST(D158:M158,$D$1:$M$1,TRUE,FALSE),"")</f>
        <v/>
      </c>
      <c r="F512" t="str">
        <v/>
      </c>
    </row>
    <row r="513" spans="1:38" x14ac:dyDescent="0.25">
      <c r="A513" s="350" t="s">
        <v>1452</v>
      </c>
      <c r="B513" t="s">
        <v>229</v>
      </c>
      <c r="C513" t="s">
        <v>1533</v>
      </c>
      <c r="D513" t="b">
        <f t="shared" si="42"/>
        <v>0</v>
      </c>
      <c r="E513" t="str">
        <f t="array" ref="E513:F513">IF(D513=TRUE,LOGEST(D159:M159,$D$1:$M$1,TRUE,FALSE),"")</f>
        <v/>
      </c>
      <c r="F513" t="str">
        <v/>
      </c>
    </row>
    <row r="514" spans="1:38" x14ac:dyDescent="0.25">
      <c r="A514" s="350" t="s">
        <v>1453</v>
      </c>
      <c r="B514" t="s">
        <v>295</v>
      </c>
      <c r="C514" t="s">
        <v>1533</v>
      </c>
      <c r="D514" t="b">
        <f t="shared" si="42"/>
        <v>0</v>
      </c>
      <c r="E514" t="str">
        <f t="array" ref="E514:F514">IF(D514=TRUE,LOGEST(D160:M160,$D$1:$M$1,TRUE,FALSE),"")</f>
        <v/>
      </c>
      <c r="F514" t="str">
        <v/>
      </c>
    </row>
    <row r="515" spans="1:38" x14ac:dyDescent="0.25">
      <c r="A515" s="350" t="s">
        <v>1454</v>
      </c>
      <c r="B515" t="s">
        <v>285</v>
      </c>
      <c r="C515" t="s">
        <v>1533</v>
      </c>
      <c r="D515" t="b">
        <f t="shared" si="42"/>
        <v>0</v>
      </c>
      <c r="E515" t="str">
        <f t="array" ref="E515:F515">IF(D515=TRUE,LOGEST(D161:M161,$D$1:$M$1,TRUE,FALSE),"")</f>
        <v/>
      </c>
      <c r="F515" t="str">
        <v/>
      </c>
    </row>
    <row r="516" spans="1:38" x14ac:dyDescent="0.25">
      <c r="A516" s="350" t="s">
        <v>1455</v>
      </c>
      <c r="B516" t="s">
        <v>289</v>
      </c>
      <c r="C516" t="s">
        <v>1533</v>
      </c>
      <c r="D516" t="b">
        <f t="shared" si="42"/>
        <v>0</v>
      </c>
      <c r="E516" t="str">
        <f t="array" ref="E516:F516">IF(D516=TRUE,LOGEST(D162:M162,$D$1:$M$1,TRUE,FALSE),"")</f>
        <v/>
      </c>
      <c r="F516" t="str">
        <v/>
      </c>
    </row>
    <row r="517" spans="1:38" x14ac:dyDescent="0.25">
      <c r="A517" s="350" t="s">
        <v>1456</v>
      </c>
      <c r="B517" t="s">
        <v>289</v>
      </c>
      <c r="C517" t="s">
        <v>1533</v>
      </c>
      <c r="D517" t="b">
        <f t="shared" si="42"/>
        <v>0</v>
      </c>
      <c r="E517" t="str">
        <f t="array" ref="E517:F517">IF(D517=TRUE,LOGEST(D163:M163,$D$1:$M$1,TRUE,FALSE),"")</f>
        <v/>
      </c>
      <c r="F517" t="str">
        <v/>
      </c>
    </row>
    <row r="518" spans="1:38" x14ac:dyDescent="0.25">
      <c r="A518" s="350" t="s">
        <v>1457</v>
      </c>
      <c r="B518" t="s">
        <v>295</v>
      </c>
      <c r="C518" t="s">
        <v>1533</v>
      </c>
      <c r="D518" t="b">
        <f t="shared" si="42"/>
        <v>0</v>
      </c>
      <c r="E518" t="str">
        <f t="array" ref="E518:F518">IF(D518=TRUE,LOGEST(D164:M164,$D$1:$M$1,TRUE,FALSE),"")</f>
        <v/>
      </c>
      <c r="F518" t="str">
        <v/>
      </c>
    </row>
    <row r="519" spans="1:38" x14ac:dyDescent="0.25">
      <c r="A519" s="350" t="s">
        <v>1718</v>
      </c>
      <c r="B519" t="s">
        <v>295</v>
      </c>
      <c r="C519" t="s">
        <v>1533</v>
      </c>
      <c r="D519" t="b">
        <f t="shared" si="42"/>
        <v>0</v>
      </c>
      <c r="E519" t="str">
        <f t="array" ref="E519:F519">IF(D519=TRUE,LOGEST(D165:M165,$D$1:$M$1,TRUE,FALSE),"")</f>
        <v/>
      </c>
      <c r="F519" t="str">
        <v/>
      </c>
    </row>
    <row r="520" spans="1:38" x14ac:dyDescent="0.25">
      <c r="A520" s="350" t="s">
        <v>1719</v>
      </c>
      <c r="B520" t="s">
        <v>295</v>
      </c>
      <c r="C520" t="s">
        <v>1533</v>
      </c>
      <c r="D520" t="b">
        <f t="shared" si="42"/>
        <v>0</v>
      </c>
      <c r="E520" t="str">
        <f t="array" ref="E520:F520">IF(D520=TRUE,LOGEST(D166:M166,$D$1:$M$1,TRUE,FALSE),"")</f>
        <v/>
      </c>
      <c r="F520" t="str">
        <v/>
      </c>
    </row>
    <row r="521" spans="1:38" x14ac:dyDescent="0.25">
      <c r="A521" s="350" t="s">
        <v>1720</v>
      </c>
      <c r="B521" t="s">
        <v>295</v>
      </c>
      <c r="C521" t="s">
        <v>1533</v>
      </c>
      <c r="D521" t="b">
        <f t="shared" si="42"/>
        <v>0</v>
      </c>
      <c r="E521" t="str">
        <f t="array" ref="E521:F521">IF(D521=TRUE,LOGEST(D167:M167,$D$1:$M$1,TRUE,FALSE),"")</f>
        <v/>
      </c>
      <c r="F521" t="str">
        <v/>
      </c>
    </row>
    <row r="522" spans="1:38" x14ac:dyDescent="0.25">
      <c r="A522" s="350" t="s">
        <v>1721</v>
      </c>
      <c r="B522" t="s">
        <v>295</v>
      </c>
      <c r="C522" t="s">
        <v>1533</v>
      </c>
      <c r="D522" t="b">
        <f t="shared" si="42"/>
        <v>0</v>
      </c>
      <c r="E522" t="str">
        <f t="array" ref="E522:F522">IF(D522=TRUE,LOGEST(D168:M168,$D$1:$M$1,TRUE,FALSE),"")</f>
        <v/>
      </c>
      <c r="F522" t="str">
        <v/>
      </c>
    </row>
    <row r="524" spans="1:38" x14ac:dyDescent="0.25">
      <c r="A524" s="332" t="s">
        <v>1459</v>
      </c>
      <c r="B524" s="332" t="s">
        <v>877</v>
      </c>
      <c r="C524" t="s">
        <v>1544</v>
      </c>
      <c r="D524" t="s">
        <v>1545</v>
      </c>
      <c r="E524" t="s">
        <v>1546</v>
      </c>
      <c r="F524" t="s">
        <v>1547</v>
      </c>
      <c r="G524" t="s">
        <v>1548</v>
      </c>
      <c r="H524" t="s">
        <v>1549</v>
      </c>
      <c r="I524" t="s">
        <v>1550</v>
      </c>
      <c r="J524" t="s">
        <v>1551</v>
      </c>
      <c r="K524" t="s">
        <v>1552</v>
      </c>
      <c r="L524" t="s">
        <v>1553</v>
      </c>
      <c r="M524" t="s">
        <v>1554</v>
      </c>
      <c r="N524" t="s">
        <v>1555</v>
      </c>
      <c r="O524" t="s">
        <v>1556</v>
      </c>
      <c r="P524" t="s">
        <v>1557</v>
      </c>
      <c r="Q524" t="s">
        <v>1558</v>
      </c>
      <c r="R524" t="s">
        <v>1559</v>
      </c>
      <c r="S524" t="s">
        <v>1560</v>
      </c>
      <c r="T524" t="s">
        <v>1561</v>
      </c>
      <c r="U524" t="s">
        <v>1562</v>
      </c>
      <c r="V524" t="s">
        <v>1563</v>
      </c>
      <c r="W524" t="s">
        <v>1564</v>
      </c>
      <c r="X524" t="s">
        <v>1565</v>
      </c>
      <c r="Y524" t="s">
        <v>1566</v>
      </c>
      <c r="Z524" t="s">
        <v>1567</v>
      </c>
      <c r="AA524" t="s">
        <v>1568</v>
      </c>
      <c r="AB524" t="s">
        <v>1569</v>
      </c>
      <c r="AC524" t="s">
        <v>1570</v>
      </c>
      <c r="AD524" t="s">
        <v>1571</v>
      </c>
      <c r="AE524" t="s">
        <v>1572</v>
      </c>
      <c r="AF524" t="s">
        <v>1573</v>
      </c>
      <c r="AG524" t="s">
        <v>1574</v>
      </c>
      <c r="AH524" t="s">
        <v>1575</v>
      </c>
      <c r="AI524" t="s">
        <v>1576</v>
      </c>
      <c r="AJ524" t="s">
        <v>1577</v>
      </c>
      <c r="AK524" t="s">
        <v>1578</v>
      </c>
      <c r="AL524" t="s">
        <v>1579</v>
      </c>
    </row>
    <row r="525" spans="1:38" x14ac:dyDescent="0.25">
      <c r="A525" t="s">
        <v>285</v>
      </c>
      <c r="B525" t="s">
        <v>874</v>
      </c>
      <c r="C525" s="2">
        <v>11</v>
      </c>
      <c r="D525" s="2">
        <v>11</v>
      </c>
      <c r="E525" s="2">
        <v>11</v>
      </c>
      <c r="F525" s="2">
        <v>11</v>
      </c>
      <c r="G525" s="2">
        <v>11</v>
      </c>
      <c r="H525" s="2">
        <v>11</v>
      </c>
      <c r="I525" s="2">
        <v>11</v>
      </c>
      <c r="J525" s="2">
        <v>11</v>
      </c>
      <c r="K525" s="2">
        <v>11</v>
      </c>
      <c r="L525" s="2">
        <v>11</v>
      </c>
      <c r="M525" s="2">
        <v>11</v>
      </c>
      <c r="N525" s="2">
        <v>11</v>
      </c>
      <c r="O525" s="2">
        <v>11</v>
      </c>
      <c r="P525" s="2">
        <v>11</v>
      </c>
      <c r="Q525" s="2">
        <v>11</v>
      </c>
      <c r="R525" s="2">
        <v>11</v>
      </c>
      <c r="S525" s="2">
        <v>11</v>
      </c>
      <c r="T525" s="2">
        <v>11</v>
      </c>
      <c r="U525" s="2">
        <v>11</v>
      </c>
      <c r="V525" s="2">
        <v>11</v>
      </c>
      <c r="W525" s="2">
        <v>11</v>
      </c>
      <c r="X525" s="2">
        <v>11</v>
      </c>
      <c r="Y525" s="2">
        <v>11</v>
      </c>
      <c r="Z525" s="2">
        <v>11</v>
      </c>
      <c r="AA525" s="2">
        <v>11</v>
      </c>
      <c r="AB525" s="2">
        <v>11</v>
      </c>
      <c r="AC525" s="2">
        <v>11</v>
      </c>
      <c r="AD525" s="2">
        <v>11</v>
      </c>
      <c r="AE525" s="2">
        <v>11</v>
      </c>
      <c r="AF525" s="2">
        <v>11</v>
      </c>
      <c r="AG525" s="2">
        <v>11</v>
      </c>
      <c r="AH525" s="2">
        <v>11</v>
      </c>
      <c r="AI525" s="2">
        <v>11</v>
      </c>
      <c r="AJ525" s="2">
        <v>11</v>
      </c>
      <c r="AK525" s="2">
        <v>11</v>
      </c>
      <c r="AL525" s="2">
        <v>11</v>
      </c>
    </row>
    <row r="526" spans="1:38" x14ac:dyDescent="0.25">
      <c r="A526" t="s">
        <v>1461</v>
      </c>
      <c r="B526" t="s">
        <v>865</v>
      </c>
      <c r="C526" s="2">
        <v>24578</v>
      </c>
      <c r="D526" s="2">
        <v>23928</v>
      </c>
      <c r="E526" s="2">
        <v>24644.308562053819</v>
      </c>
      <c r="F526" s="2">
        <v>24934.027587789395</v>
      </c>
      <c r="G526" s="2">
        <v>25224.234055901619</v>
      </c>
      <c r="H526" s="2">
        <v>25514.925014139066</v>
      </c>
      <c r="I526" s="2">
        <v>25806.097528130958</v>
      </c>
      <c r="J526" s="2">
        <v>26097.748681278907</v>
      </c>
      <c r="K526" s="2">
        <v>26389.87557464921</v>
      </c>
      <c r="L526" s="2">
        <v>26682.475326865904</v>
      </c>
      <c r="M526" s="2">
        <v>26975.545074004418</v>
      </c>
      <c r="N526" s="2">
        <v>27269.081969485873</v>
      </c>
      <c r="O526" s="2">
        <v>27563.083183972019</v>
      </c>
      <c r="P526" s="2">
        <v>27857.545905260828</v>
      </c>
      <c r="Q526" s="2">
        <v>28152.467338182705</v>
      </c>
      <c r="R526" s="2">
        <v>28447.844704497307</v>
      </c>
      <c r="S526" s="2">
        <v>28743.675242791043</v>
      </c>
      <c r="T526" s="2">
        <v>29039.956208375148</v>
      </c>
      <c r="U526" s="2">
        <v>29336.684873184364</v>
      </c>
      <c r="V526" s="2">
        <v>29633.858525676293</v>
      </c>
      <c r="W526" s="2">
        <v>29931.474470731304</v>
      </c>
      <c r="X526" s="2">
        <v>30229.530029553072</v>
      </c>
      <c r="Y526" s="2">
        <v>30528.022539569713</v>
      </c>
      <c r="Z526" s="2">
        <v>30826.949354335517</v>
      </c>
      <c r="AA526" s="2">
        <v>31126.307843433282</v>
      </c>
      <c r="AB526" s="2">
        <v>31426.095392377239</v>
      </c>
      <c r="AC526" s="2">
        <v>31726.309402516548</v>
      </c>
      <c r="AD526" s="2">
        <v>32026.947290939406</v>
      </c>
      <c r="AE526" s="2">
        <v>32328.006490377702</v>
      </c>
      <c r="AF526" s="2">
        <v>32629.4844491123</v>
      </c>
      <c r="AG526" s="2">
        <v>32931.37863087884</v>
      </c>
      <c r="AH526" s="2">
        <v>33233.686514774148</v>
      </c>
      <c r="AI526" s="2">
        <v>33536.405595163182</v>
      </c>
      <c r="AJ526" s="2">
        <v>33839.533381586582</v>
      </c>
      <c r="AK526" s="2">
        <v>34143.067398668725</v>
      </c>
      <c r="AL526" s="2">
        <v>34447.005186026407</v>
      </c>
    </row>
    <row r="527" spans="1:38" x14ac:dyDescent="0.25">
      <c r="A527" t="s">
        <v>229</v>
      </c>
      <c r="B527" t="s">
        <v>865</v>
      </c>
      <c r="C527" s="2">
        <v>14587</v>
      </c>
      <c r="D527" s="2">
        <v>14909</v>
      </c>
      <c r="E527" s="2">
        <v>16280.690749713891</v>
      </c>
      <c r="F527" s="2">
        <v>16599.677011730699</v>
      </c>
      <c r="G527" s="2">
        <v>16918.831988024896</v>
      </c>
      <c r="H527" s="2">
        <v>17238.154134838747</v>
      </c>
      <c r="I527" s="2">
        <v>17557.641924123229</v>
      </c>
      <c r="J527" s="2">
        <v>17877.293843370455</v>
      </c>
      <c r="K527" s="2">
        <v>18197.108395447929</v>
      </c>
      <c r="L527" s="2">
        <v>18517.084098434592</v>
      </c>
      <c r="M527" s="2">
        <v>18837.219485458678</v>
      </c>
      <c r="N527" s="2">
        <v>19157.513104537269</v>
      </c>
      <c r="O527" s="2">
        <v>19477.96351841768</v>
      </c>
      <c r="P527" s="2">
        <v>19798.569304420493</v>
      </c>
      <c r="Q527" s="2">
        <v>20119.329054284339</v>
      </c>
      <c r="R527" s="2">
        <v>20440.241374012345</v>
      </c>
      <c r="S527" s="2">
        <v>20761.304883720251</v>
      </c>
      <c r="T527" s="2">
        <v>21082.518217486198</v>
      </c>
      <c r="U527" s="2">
        <v>21403.880023202128</v>
      </c>
      <c r="V527" s="2">
        <v>21725.38896242679</v>
      </c>
      <c r="W527" s="2">
        <v>22047.043710240359</v>
      </c>
      <c r="X527" s="2">
        <v>22368.842955100641</v>
      </c>
      <c r="Y527" s="2">
        <v>22690.785398700806</v>
      </c>
      <c r="Z527" s="2">
        <v>23012.869755828699</v>
      </c>
      <c r="AA527" s="2">
        <v>23335.094754227659</v>
      </c>
      <c r="AB527" s="2">
        <v>23657.459134458866</v>
      </c>
      <c r="AC527" s="2">
        <v>23979.961649765148</v>
      </c>
      <c r="AD527" s="2">
        <v>24302.601065936316</v>
      </c>
      <c r="AE527" s="2">
        <v>24625.376161175915</v>
      </c>
      <c r="AF527" s="2">
        <v>24948.285725969447</v>
      </c>
      <c r="AG527" s="2">
        <v>25271.328562954008</v>
      </c>
      <c r="AH527" s="2">
        <v>25594.503486789348</v>
      </c>
      <c r="AI527" s="2">
        <v>25917.809324030342</v>
      </c>
      <c r="AJ527" s="2">
        <v>26241.244913000821</v>
      </c>
      <c r="AK527" s="2">
        <v>26564.809103668769</v>
      </c>
      <c r="AL527" s="2">
        <v>26888.50075752291</v>
      </c>
    </row>
    <row r="528" spans="1:38" x14ac:dyDescent="0.25">
      <c r="A528" t="s">
        <v>229</v>
      </c>
      <c r="B528" t="s">
        <v>875</v>
      </c>
      <c r="C528" s="2">
        <v>53</v>
      </c>
      <c r="D528" s="2">
        <v>57</v>
      </c>
      <c r="E528" s="2">
        <v>49.913028390973778</v>
      </c>
      <c r="F528" s="2">
        <v>49.292212718582086</v>
      </c>
      <c r="G528" s="2">
        <v>48.686766536220503</v>
      </c>
      <c r="H528" s="2">
        <v>48.096213535017831</v>
      </c>
      <c r="I528" s="2">
        <v>47.520092770168873</v>
      </c>
      <c r="J528" s="2">
        <v>46.957958162311378</v>
      </c>
      <c r="K528" s="2">
        <v>46.409378015099932</v>
      </c>
      <c r="L528" s="2">
        <v>45.873934548450393</v>
      </c>
      <c r="M528" s="2">
        <v>45.351223446946072</v>
      </c>
      <c r="N528" s="2">
        <v>44.840853422912829</v>
      </c>
      <c r="O528" s="2">
        <v>44.342445793686643</v>
      </c>
      <c r="P528" s="2">
        <v>43.855634072612617</v>
      </c>
      <c r="Q528" s="2">
        <v>43.380063573329167</v>
      </c>
      <c r="R528" s="2">
        <v>42.915391026905993</v>
      </c>
      <c r="S528" s="2">
        <v>42.46128421141816</v>
      </c>
      <c r="T528" s="2">
        <v>42.017421593552058</v>
      </c>
      <c r="U528" s="2">
        <v>41.583491981852902</v>
      </c>
      <c r="V528" s="2">
        <v>41.15919419123486</v>
      </c>
      <c r="W528" s="2">
        <v>40.744236718388585</v>
      </c>
      <c r="X528" s="2">
        <v>40.338337427731588</v>
      </c>
      <c r="Y528" s="2">
        <v>39.941223247559364</v>
      </c>
      <c r="Z528" s="2">
        <v>39.552629876065602</v>
      </c>
      <c r="AA528" s="2">
        <v>39.172301496910876</v>
      </c>
      <c r="AB528" s="2">
        <v>38.799990504029893</v>
      </c>
      <c r="AC528" s="2">
        <v>38.435457235376759</v>
      </c>
      <c r="AD528" s="2">
        <v>38.078469715318214</v>
      </c>
      <c r="AE528" s="2">
        <v>37.728803405393627</v>
      </c>
      <c r="AF528" s="2">
        <v>37.386240963170401</v>
      </c>
      <c r="AG528" s="2">
        <v>37.050572008931006</v>
      </c>
      <c r="AH528" s="2">
        <v>36.721592899938102</v>
      </c>
      <c r="AI528" s="2">
        <v>36.399106512030883</v>
      </c>
      <c r="AJ528" s="2">
        <v>36.082922028314904</v>
      </c>
      <c r="AK528" s="2">
        <v>35.772854734714628</v>
      </c>
      <c r="AL528" s="2">
        <v>35.468725822166007</v>
      </c>
    </row>
    <row r="529" spans="1:38" x14ac:dyDescent="0.25">
      <c r="A529" t="s">
        <v>1460</v>
      </c>
      <c r="B529" t="s">
        <v>874</v>
      </c>
      <c r="C529" s="2">
        <v>256</v>
      </c>
      <c r="D529" s="2">
        <v>268</v>
      </c>
      <c r="E529" s="2">
        <v>268.7</v>
      </c>
      <c r="F529" s="2">
        <v>269.39999999999998</v>
      </c>
      <c r="G529" s="2">
        <v>270.09999999999997</v>
      </c>
      <c r="H529" s="2">
        <v>270.79999999999995</v>
      </c>
      <c r="I529" s="2">
        <v>271.49999999999994</v>
      </c>
      <c r="J529" s="2">
        <v>272.19999999999993</v>
      </c>
      <c r="K529" s="2">
        <v>272.89999999999992</v>
      </c>
      <c r="L529" s="2">
        <v>273.59999999999991</v>
      </c>
      <c r="M529" s="2">
        <v>274.2999999999999</v>
      </c>
      <c r="N529" s="2">
        <v>274.99999999999989</v>
      </c>
      <c r="O529" s="2">
        <v>275.69999999999987</v>
      </c>
      <c r="P529" s="2">
        <v>276.39999999999986</v>
      </c>
      <c r="Q529" s="2">
        <v>277.09999999999985</v>
      </c>
      <c r="R529" s="2">
        <v>277.79999999999984</v>
      </c>
      <c r="S529" s="2">
        <v>278.49999999999983</v>
      </c>
      <c r="T529" s="2">
        <v>279.19999999999982</v>
      </c>
      <c r="U529" s="2">
        <v>279.89999999999981</v>
      </c>
      <c r="V529" s="2">
        <v>280.5999999999998</v>
      </c>
      <c r="W529" s="2">
        <v>281.29999999999978</v>
      </c>
      <c r="X529" s="2">
        <v>281.99999999999977</v>
      </c>
      <c r="Y529" s="2">
        <v>282.69999999999976</v>
      </c>
      <c r="Z529" s="2">
        <v>283.39999999999975</v>
      </c>
      <c r="AA529" s="2">
        <v>284.09999999999974</v>
      </c>
      <c r="AB529" s="2">
        <v>284.79999999999973</v>
      </c>
      <c r="AC529" s="2">
        <v>285.49999999999972</v>
      </c>
      <c r="AD529" s="2">
        <v>286.1999999999997</v>
      </c>
      <c r="AE529" s="2">
        <v>286.89999999999969</v>
      </c>
      <c r="AF529" s="2">
        <v>287.59999999999968</v>
      </c>
      <c r="AG529" s="2">
        <v>288.29999999999967</v>
      </c>
      <c r="AH529" s="2">
        <v>288.99999999999966</v>
      </c>
      <c r="AI529" s="2">
        <v>289.69999999999965</v>
      </c>
      <c r="AJ529" s="2">
        <v>290.39999999999964</v>
      </c>
      <c r="AK529" s="2">
        <v>291.09999999999962</v>
      </c>
      <c r="AL529" s="2">
        <v>291.79999999999961</v>
      </c>
    </row>
    <row r="530" spans="1:38" x14ac:dyDescent="0.25">
      <c r="A530" t="s">
        <v>228</v>
      </c>
      <c r="B530" t="s">
        <v>874</v>
      </c>
      <c r="C530" s="2">
        <v>7</v>
      </c>
      <c r="D530" s="2">
        <v>10</v>
      </c>
      <c r="E530" s="2">
        <v>10.8</v>
      </c>
      <c r="F530" s="2">
        <v>11.600000000000001</v>
      </c>
      <c r="G530" s="2">
        <v>12.400000000000002</v>
      </c>
      <c r="H530" s="2">
        <v>13.200000000000003</v>
      </c>
      <c r="I530" s="2">
        <v>14.000000000000004</v>
      </c>
      <c r="J530" s="2">
        <v>14.800000000000004</v>
      </c>
      <c r="K530" s="2">
        <v>15.600000000000005</v>
      </c>
      <c r="L530" s="2">
        <v>16.400000000000006</v>
      </c>
      <c r="M530" s="2">
        <v>17.200000000000006</v>
      </c>
      <c r="N530" s="2">
        <v>18.000000000000007</v>
      </c>
      <c r="O530" s="2">
        <v>18.800000000000008</v>
      </c>
      <c r="P530" s="2">
        <v>19.600000000000009</v>
      </c>
      <c r="Q530" s="2">
        <v>20.400000000000009</v>
      </c>
      <c r="R530" s="2">
        <v>21.20000000000001</v>
      </c>
      <c r="S530" s="2">
        <v>22.000000000000011</v>
      </c>
      <c r="T530" s="2">
        <v>22.800000000000011</v>
      </c>
      <c r="U530" s="2">
        <v>23.600000000000012</v>
      </c>
      <c r="V530" s="2">
        <v>24.400000000000013</v>
      </c>
      <c r="W530" s="2">
        <v>25.200000000000014</v>
      </c>
      <c r="X530" s="2">
        <v>26.000000000000014</v>
      </c>
      <c r="Y530" s="2">
        <v>26.800000000000015</v>
      </c>
      <c r="Z530" s="2">
        <v>27.600000000000016</v>
      </c>
      <c r="AA530" s="2">
        <v>28.400000000000016</v>
      </c>
      <c r="AB530" s="2">
        <v>29.200000000000017</v>
      </c>
      <c r="AC530" s="2">
        <v>30.000000000000018</v>
      </c>
      <c r="AD530" s="2">
        <v>30.800000000000018</v>
      </c>
      <c r="AE530" s="2">
        <v>31.600000000000019</v>
      </c>
      <c r="AF530" s="2">
        <v>32.40000000000002</v>
      </c>
      <c r="AG530" s="2">
        <v>33.200000000000017</v>
      </c>
      <c r="AH530" s="2">
        <v>34.000000000000014</v>
      </c>
      <c r="AI530" s="2">
        <v>34.800000000000011</v>
      </c>
      <c r="AJ530" s="2">
        <v>35.600000000000009</v>
      </c>
      <c r="AK530" s="2">
        <v>36.400000000000006</v>
      </c>
      <c r="AL530" s="2">
        <v>37.200000000000003</v>
      </c>
    </row>
    <row r="531" spans="1:38" x14ac:dyDescent="0.25">
      <c r="A531" t="s">
        <v>228</v>
      </c>
      <c r="B531" t="s">
        <v>865</v>
      </c>
      <c r="C531" s="2">
        <v>28062</v>
      </c>
      <c r="D531" s="2">
        <v>28110</v>
      </c>
      <c r="E531" s="2">
        <v>28202.3</v>
      </c>
      <c r="F531" s="2">
        <v>28294.6</v>
      </c>
      <c r="G531" s="2">
        <v>28386.899999999998</v>
      </c>
      <c r="H531" s="2">
        <v>28479.199999999997</v>
      </c>
      <c r="I531" s="2">
        <v>28571.499999999996</v>
      </c>
      <c r="J531" s="2">
        <v>28663.799999999996</v>
      </c>
      <c r="K531" s="2">
        <v>28756.099999999995</v>
      </c>
      <c r="L531" s="2">
        <v>28848.399999999994</v>
      </c>
      <c r="M531" s="2">
        <v>28940.699999999993</v>
      </c>
      <c r="N531" s="2">
        <v>29032.999999999993</v>
      </c>
      <c r="O531" s="2">
        <v>29125.299999999992</v>
      </c>
      <c r="P531" s="2">
        <v>29217.599999999991</v>
      </c>
      <c r="Q531" s="2">
        <v>29309.899999999991</v>
      </c>
      <c r="R531" s="2">
        <v>29402.19999999999</v>
      </c>
      <c r="S531" s="2">
        <v>29494.499999999989</v>
      </c>
      <c r="T531" s="2">
        <v>29586.799999999988</v>
      </c>
      <c r="U531" s="2">
        <v>29679.099999999988</v>
      </c>
      <c r="V531" s="2">
        <v>29771.399999999987</v>
      </c>
      <c r="W531" s="2">
        <v>29863.699999999986</v>
      </c>
      <c r="X531" s="2">
        <v>29955.999999999985</v>
      </c>
      <c r="Y531" s="2">
        <v>30048.299999999985</v>
      </c>
      <c r="Z531" s="2">
        <v>30140.599999999984</v>
      </c>
      <c r="AA531" s="2">
        <v>30232.899999999983</v>
      </c>
      <c r="AB531" s="2">
        <v>30325.199999999983</v>
      </c>
      <c r="AC531" s="2">
        <v>30417.499999999982</v>
      </c>
      <c r="AD531" s="2">
        <v>30509.799999999981</v>
      </c>
      <c r="AE531" s="2">
        <v>30602.09999999998</v>
      </c>
      <c r="AF531" s="2">
        <v>30694.39999999998</v>
      </c>
      <c r="AG531" s="2">
        <v>30786.699999999979</v>
      </c>
      <c r="AH531" s="2">
        <v>30878.999999999978</v>
      </c>
      <c r="AI531" s="2">
        <v>30971.299999999977</v>
      </c>
      <c r="AJ531" s="2">
        <v>31063.599999999977</v>
      </c>
      <c r="AK531" s="2">
        <v>31155.899999999976</v>
      </c>
      <c r="AL531" s="2">
        <v>31248.199999999975</v>
      </c>
    </row>
    <row r="532" spans="1:38" x14ac:dyDescent="0.25">
      <c r="A532" t="s">
        <v>295</v>
      </c>
      <c r="B532" t="s">
        <v>874</v>
      </c>
      <c r="C532" s="2">
        <v>1</v>
      </c>
      <c r="D532" s="2">
        <v>1</v>
      </c>
      <c r="E532" s="2">
        <v>1.1000000000000001</v>
      </c>
      <c r="F532" s="2">
        <v>1.2000000000000002</v>
      </c>
      <c r="G532" s="2">
        <v>1.3000000000000003</v>
      </c>
      <c r="H532" s="2">
        <v>1.4000000000000004</v>
      </c>
      <c r="I532" s="2">
        <v>1.5000000000000004</v>
      </c>
      <c r="J532" s="2">
        <v>1.6000000000000005</v>
      </c>
      <c r="K532" s="2">
        <v>1.7000000000000006</v>
      </c>
      <c r="L532" s="2">
        <v>1.8000000000000007</v>
      </c>
      <c r="M532" s="2">
        <v>1.9000000000000008</v>
      </c>
      <c r="N532" s="2">
        <v>2.0000000000000009</v>
      </c>
      <c r="O532" s="2">
        <v>2.100000000000001</v>
      </c>
      <c r="P532" s="2">
        <v>2.2000000000000011</v>
      </c>
      <c r="Q532" s="2">
        <v>2.3000000000000012</v>
      </c>
      <c r="R532" s="2">
        <v>2.4000000000000012</v>
      </c>
      <c r="S532" s="2">
        <v>2.5000000000000013</v>
      </c>
      <c r="T532" s="2">
        <v>2.6000000000000014</v>
      </c>
      <c r="U532" s="2">
        <v>2.7000000000000015</v>
      </c>
      <c r="V532" s="2">
        <v>2.8000000000000016</v>
      </c>
      <c r="W532" s="2">
        <v>2.9000000000000017</v>
      </c>
      <c r="X532" s="2">
        <v>3.0000000000000018</v>
      </c>
      <c r="Y532" s="2">
        <v>3.1000000000000019</v>
      </c>
      <c r="Z532" s="2">
        <v>3.200000000000002</v>
      </c>
      <c r="AA532" s="2">
        <v>3.300000000000002</v>
      </c>
      <c r="AB532" s="2">
        <v>3.4000000000000021</v>
      </c>
      <c r="AC532" s="2">
        <v>3.5000000000000022</v>
      </c>
      <c r="AD532" s="2">
        <v>3.6000000000000023</v>
      </c>
      <c r="AE532" s="2">
        <v>3.7000000000000024</v>
      </c>
      <c r="AF532" s="2">
        <v>3.8000000000000025</v>
      </c>
      <c r="AG532" s="2">
        <v>3.9000000000000026</v>
      </c>
      <c r="AH532" s="2">
        <v>4.0000000000000027</v>
      </c>
      <c r="AI532" s="2">
        <v>4.1000000000000023</v>
      </c>
      <c r="AJ532" s="2">
        <v>4.200000000000002</v>
      </c>
      <c r="AK532" s="2">
        <v>4.3000000000000016</v>
      </c>
      <c r="AL532" s="2">
        <v>4.4000000000000012</v>
      </c>
    </row>
    <row r="533" spans="1:38" x14ac:dyDescent="0.25">
      <c r="A533" t="s">
        <v>295</v>
      </c>
      <c r="B533" t="s">
        <v>865</v>
      </c>
      <c r="C533" s="2">
        <v>20746</v>
      </c>
      <c r="D533" s="2">
        <v>23619</v>
      </c>
      <c r="E533" s="2">
        <v>24202.648731399568</v>
      </c>
      <c r="F533" s="2">
        <v>24572.619708396363</v>
      </c>
      <c r="G533" s="2">
        <v>24945.16144296249</v>
      </c>
      <c r="H533" s="2">
        <v>25320.216433665992</v>
      </c>
      <c r="I533" s="2">
        <v>25697.728700928899</v>
      </c>
      <c r="J533" s="2">
        <v>26077.643743241606</v>
      </c>
      <c r="K533" s="2">
        <v>26459.908494711766</v>
      </c>
      <c r="L533" s="2">
        <v>26844.471283905899</v>
      </c>
      <c r="M533" s="2">
        <v>27231.281793943133</v>
      </c>
      <c r="N533" s="2">
        <v>27620.291023801914</v>
      </c>
      <c r="O533" s="2">
        <v>28011.451250801674</v>
      </c>
      <c r="P533" s="2">
        <v>28404.715994222646</v>
      </c>
      <c r="Q533" s="2">
        <v>28800.039980028294</v>
      </c>
      <c r="R533" s="2">
        <v>29197.379106655833</v>
      </c>
      <c r="S533" s="2">
        <v>29596.690411841566</v>
      </c>
      <c r="T533" s="2">
        <v>29997.93204044845</v>
      </c>
      <c r="U533" s="2">
        <v>30401.063213264981</v>
      </c>
      <c r="V533" s="2">
        <v>30806.04419674478</v>
      </c>
      <c r="W533" s="2">
        <v>31212.836273657718</v>
      </c>
      <c r="X533" s="2">
        <v>31621.401714624149</v>
      </c>
      <c r="Y533" s="2">
        <v>32031.703750504661</v>
      </c>
      <c r="Z533" s="2">
        <v>32443.706545618796</v>
      </c>
      <c r="AA533" s="2">
        <v>32857.375171767017</v>
      </c>
      <c r="AB533" s="2">
        <v>33272.675583030701</v>
      </c>
      <c r="AC533" s="2">
        <v>33689.574591326316</v>
      </c>
      <c r="AD533" s="2">
        <v>34108.039842690087</v>
      </c>
      <c r="AE533" s="2">
        <v>34528.039794270619</v>
      </c>
      <c r="AF533" s="2">
        <v>34949.543692007544</v>
      </c>
      <c r="AG533" s="2">
        <v>35372.521548974793</v>
      </c>
      <c r="AH533" s="2">
        <v>35796.94412436807</v>
      </c>
      <c r="AI533" s="2">
        <v>36222.782903116444</v>
      </c>
      <c r="AJ533" s="2">
        <v>36650.010076099003</v>
      </c>
      <c r="AK533" s="2">
        <v>37078.598520947402</v>
      </c>
      <c r="AL533" s="2">
        <v>37508.521783416829</v>
      </c>
    </row>
    <row r="534" spans="1:38" x14ac:dyDescent="0.25">
      <c r="A534" t="s">
        <v>295</v>
      </c>
      <c r="B534" t="s">
        <v>875</v>
      </c>
      <c r="C534" s="2">
        <v>14</v>
      </c>
      <c r="D534" s="2">
        <v>14</v>
      </c>
      <c r="E534" s="2">
        <v>14</v>
      </c>
      <c r="F534" s="2">
        <v>14</v>
      </c>
      <c r="G534" s="2">
        <v>14</v>
      </c>
      <c r="H534" s="2">
        <v>14</v>
      </c>
      <c r="I534" s="2">
        <v>14</v>
      </c>
      <c r="J534" s="2">
        <v>14</v>
      </c>
      <c r="K534" s="2">
        <v>14</v>
      </c>
      <c r="L534" s="2">
        <v>14</v>
      </c>
      <c r="M534" s="2">
        <v>14</v>
      </c>
      <c r="N534" s="2">
        <v>14</v>
      </c>
      <c r="O534" s="2">
        <v>14</v>
      </c>
      <c r="P534" s="2">
        <v>14</v>
      </c>
      <c r="Q534" s="2">
        <v>14</v>
      </c>
      <c r="R534" s="2">
        <v>14</v>
      </c>
      <c r="S534" s="2">
        <v>14</v>
      </c>
      <c r="T534" s="2">
        <v>14</v>
      </c>
      <c r="U534" s="2">
        <v>14</v>
      </c>
      <c r="V534" s="2">
        <v>14</v>
      </c>
      <c r="W534" s="2">
        <v>14</v>
      </c>
      <c r="X534" s="2">
        <v>14</v>
      </c>
      <c r="Y534" s="2">
        <v>14</v>
      </c>
      <c r="Z534" s="2">
        <v>14</v>
      </c>
      <c r="AA534" s="2">
        <v>14</v>
      </c>
      <c r="AB534" s="2">
        <v>14</v>
      </c>
      <c r="AC534" s="2">
        <v>14</v>
      </c>
      <c r="AD534" s="2">
        <v>14</v>
      </c>
      <c r="AE534" s="2">
        <v>14</v>
      </c>
      <c r="AF534" s="2">
        <v>14</v>
      </c>
      <c r="AG534" s="2">
        <v>14</v>
      </c>
      <c r="AH534" s="2">
        <v>14</v>
      </c>
      <c r="AI534" s="2">
        <v>14</v>
      </c>
      <c r="AJ534" s="2">
        <v>14</v>
      </c>
      <c r="AK534" s="2">
        <v>14</v>
      </c>
      <c r="AL534" s="2">
        <v>14</v>
      </c>
    </row>
    <row r="535" spans="1:38" x14ac:dyDescent="0.25">
      <c r="A535" t="s">
        <v>289</v>
      </c>
      <c r="B535" t="s">
        <v>874</v>
      </c>
      <c r="C535" s="2">
        <v>84</v>
      </c>
      <c r="D535" s="2">
        <v>85</v>
      </c>
      <c r="E535" s="2">
        <v>86</v>
      </c>
      <c r="F535" s="2">
        <v>87</v>
      </c>
      <c r="G535" s="2">
        <v>88</v>
      </c>
      <c r="H535" s="2">
        <v>89</v>
      </c>
      <c r="I535" s="2">
        <v>90</v>
      </c>
      <c r="J535" s="2">
        <v>91</v>
      </c>
      <c r="K535" s="2">
        <v>92</v>
      </c>
      <c r="L535" s="2">
        <v>93</v>
      </c>
      <c r="M535" s="2">
        <v>94</v>
      </c>
      <c r="N535" s="2">
        <v>95</v>
      </c>
      <c r="O535" s="2">
        <v>96</v>
      </c>
      <c r="P535" s="2">
        <v>97</v>
      </c>
      <c r="Q535" s="2">
        <v>98</v>
      </c>
      <c r="R535" s="2">
        <v>99</v>
      </c>
      <c r="S535" s="2">
        <v>100</v>
      </c>
      <c r="T535" s="2">
        <v>101</v>
      </c>
      <c r="U535" s="2">
        <v>102</v>
      </c>
      <c r="V535" s="2">
        <v>103</v>
      </c>
      <c r="W535" s="2">
        <v>104</v>
      </c>
      <c r="X535" s="2">
        <v>105</v>
      </c>
      <c r="Y535" s="2">
        <v>106</v>
      </c>
      <c r="Z535" s="2">
        <v>107</v>
      </c>
      <c r="AA535" s="2">
        <v>108</v>
      </c>
      <c r="AB535" s="2">
        <v>109</v>
      </c>
      <c r="AC535" s="2">
        <v>110</v>
      </c>
      <c r="AD535" s="2">
        <v>111</v>
      </c>
      <c r="AE535" s="2">
        <v>112</v>
      </c>
      <c r="AF535" s="2">
        <v>113</v>
      </c>
      <c r="AG535" s="2">
        <v>114</v>
      </c>
      <c r="AH535" s="2">
        <v>115</v>
      </c>
      <c r="AI535" s="2">
        <v>116</v>
      </c>
      <c r="AJ535" s="2">
        <v>117</v>
      </c>
      <c r="AK535" s="2">
        <v>118</v>
      </c>
      <c r="AL535" s="2">
        <v>119</v>
      </c>
    </row>
    <row r="536" spans="1:38" x14ac:dyDescent="0.25">
      <c r="A536" t="s">
        <v>289</v>
      </c>
      <c r="B536" t="s">
        <v>875</v>
      </c>
      <c r="C536" s="2">
        <v>6</v>
      </c>
      <c r="D536" s="2">
        <v>6</v>
      </c>
      <c r="E536" s="2">
        <v>6</v>
      </c>
      <c r="F536" s="2">
        <v>6</v>
      </c>
      <c r="G536" s="2">
        <v>6</v>
      </c>
      <c r="H536" s="2">
        <v>6</v>
      </c>
      <c r="I536" s="2">
        <v>6</v>
      </c>
      <c r="J536" s="2">
        <v>6</v>
      </c>
      <c r="K536" s="2">
        <v>6</v>
      </c>
      <c r="L536" s="2">
        <v>6</v>
      </c>
      <c r="M536" s="2">
        <v>6</v>
      </c>
      <c r="N536" s="2">
        <v>6</v>
      </c>
      <c r="O536" s="2">
        <v>6</v>
      </c>
      <c r="P536" s="2">
        <v>6</v>
      </c>
      <c r="Q536" s="2">
        <v>6</v>
      </c>
      <c r="R536" s="2">
        <v>6</v>
      </c>
      <c r="S536" s="2">
        <v>6</v>
      </c>
      <c r="T536" s="2">
        <v>6</v>
      </c>
      <c r="U536" s="2">
        <v>6</v>
      </c>
      <c r="V536" s="2">
        <v>6</v>
      </c>
      <c r="W536" s="2">
        <v>6</v>
      </c>
      <c r="X536" s="2">
        <v>6</v>
      </c>
      <c r="Y536" s="2">
        <v>6</v>
      </c>
      <c r="Z536" s="2">
        <v>6</v>
      </c>
      <c r="AA536" s="2">
        <v>6</v>
      </c>
      <c r="AB536" s="2">
        <v>6</v>
      </c>
      <c r="AC536" s="2">
        <v>6</v>
      </c>
      <c r="AD536" s="2">
        <v>6</v>
      </c>
      <c r="AE536" s="2">
        <v>6</v>
      </c>
      <c r="AF536" s="2">
        <v>6</v>
      </c>
      <c r="AG536" s="2">
        <v>6</v>
      </c>
      <c r="AH536" s="2">
        <v>6</v>
      </c>
      <c r="AI536" s="2">
        <v>6</v>
      </c>
      <c r="AJ536" s="2">
        <v>6</v>
      </c>
      <c r="AK536" s="2">
        <v>6</v>
      </c>
      <c r="AL536" s="2">
        <v>6</v>
      </c>
    </row>
  </sheetData>
  <mergeCells count="1">
    <mergeCell ref="A352:J352"/>
  </mergeCell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outlinePr summaryBelow="0"/>
  </sheetPr>
  <dimension ref="A1:AJ84"/>
  <sheetViews>
    <sheetView tabSelected="1" topLeftCell="P49" zoomScaleNormal="100" workbookViewId="0">
      <selection activeCell="AI16" sqref="AI16"/>
    </sheetView>
  </sheetViews>
  <sheetFormatPr defaultColWidth="12.5703125" defaultRowHeight="15" x14ac:dyDescent="0.25"/>
  <cols>
    <col min="1" max="1" width="61.28515625" style="106" customWidth="1"/>
    <col min="2" max="9" width="12.5703125" style="106"/>
    <col min="10" max="10" width="10.28515625" style="106" customWidth="1"/>
    <col min="11" max="11" width="10.42578125" style="108" customWidth="1"/>
    <col min="12" max="16384" width="12.5703125" style="106"/>
  </cols>
  <sheetData>
    <row r="1" spans="1:36" x14ac:dyDescent="0.25">
      <c r="A1" s="107" t="s">
        <v>823</v>
      </c>
    </row>
    <row r="2" spans="1:36" x14ac:dyDescent="0.25">
      <c r="A2" s="109"/>
      <c r="B2" s="110">
        <v>2016</v>
      </c>
      <c r="C2" s="110">
        <v>2017</v>
      </c>
      <c r="D2" s="110">
        <v>2018</v>
      </c>
      <c r="E2" s="110">
        <v>2019</v>
      </c>
      <c r="F2" s="110">
        <v>2020</v>
      </c>
      <c r="G2" s="110">
        <v>2021</v>
      </c>
      <c r="H2" s="110">
        <v>2022</v>
      </c>
      <c r="I2" s="110">
        <v>2023</v>
      </c>
      <c r="J2" s="110">
        <v>2024</v>
      </c>
      <c r="K2" s="110">
        <v>2025</v>
      </c>
      <c r="L2" s="110">
        <v>2026</v>
      </c>
      <c r="M2" s="110">
        <v>2027</v>
      </c>
      <c r="N2" s="110">
        <v>2028</v>
      </c>
      <c r="O2" s="110">
        <v>2029</v>
      </c>
      <c r="P2" s="110">
        <v>2030</v>
      </c>
      <c r="Q2" s="110">
        <v>2031</v>
      </c>
      <c r="R2" s="110">
        <v>2032</v>
      </c>
      <c r="S2" s="110">
        <v>2033</v>
      </c>
      <c r="T2" s="110">
        <v>2034</v>
      </c>
      <c r="U2" s="110">
        <v>2035</v>
      </c>
      <c r="V2" s="110">
        <v>2036</v>
      </c>
      <c r="W2" s="110">
        <v>2037</v>
      </c>
      <c r="X2" s="110">
        <v>2038</v>
      </c>
      <c r="Y2" s="110">
        <v>2039</v>
      </c>
      <c r="Z2" s="110">
        <v>2040</v>
      </c>
      <c r="AA2" s="110">
        <v>2041</v>
      </c>
      <c r="AB2" s="110">
        <v>2042</v>
      </c>
      <c r="AC2" s="110">
        <v>2043</v>
      </c>
      <c r="AD2" s="110">
        <v>2044</v>
      </c>
      <c r="AE2" s="110">
        <v>2045</v>
      </c>
      <c r="AF2" s="110">
        <v>2046</v>
      </c>
      <c r="AG2" s="110">
        <v>2047</v>
      </c>
      <c r="AH2" s="110">
        <v>2048</v>
      </c>
      <c r="AI2" s="110">
        <v>2049</v>
      </c>
      <c r="AJ2" s="110">
        <v>2050</v>
      </c>
    </row>
    <row r="3" spans="1:36" x14ac:dyDescent="0.25">
      <c r="A3" s="111" t="s">
        <v>824</v>
      </c>
      <c r="B3" s="112"/>
      <c r="C3" s="112"/>
      <c r="D3" s="112"/>
      <c r="E3" s="112"/>
      <c r="F3" s="112"/>
      <c r="G3" s="112"/>
      <c r="H3" s="112"/>
      <c r="I3" s="112"/>
    </row>
    <row r="4" spans="1:36" x14ac:dyDescent="0.25">
      <c r="A4" s="113" t="s">
        <v>825</v>
      </c>
      <c r="B4" s="115">
        <f t="shared" ref="B4:AJ4" si="0">SUM(B5:B6)</f>
        <v>63.463200000000001</v>
      </c>
      <c r="C4" s="115">
        <f t="shared" si="0"/>
        <v>64.631574114054033</v>
      </c>
      <c r="D4" s="115">
        <f t="shared" si="0"/>
        <v>66.406958506414639</v>
      </c>
      <c r="E4" s="115">
        <f t="shared" si="0"/>
        <v>68.73770961467622</v>
      </c>
      <c r="F4" s="115">
        <f t="shared" si="0"/>
        <v>70.185666149907973</v>
      </c>
      <c r="G4" s="115">
        <f t="shared" si="0"/>
        <v>71.939831123218283</v>
      </c>
      <c r="H4" s="115">
        <f t="shared" si="0"/>
        <v>73.259829373411378</v>
      </c>
      <c r="I4" s="115">
        <f t="shared" si="0"/>
        <v>74.070772741156247</v>
      </c>
      <c r="J4" s="115">
        <f t="shared" si="0"/>
        <v>75.074976749627751</v>
      </c>
      <c r="K4" s="115">
        <f t="shared" si="0"/>
        <v>75.911583644156124</v>
      </c>
      <c r="L4" s="115">
        <f t="shared" si="0"/>
        <v>76.84405747563946</v>
      </c>
      <c r="M4" s="115">
        <f t="shared" si="0"/>
        <v>77.771683347495326</v>
      </c>
      <c r="N4" s="115">
        <f t="shared" si="0"/>
        <v>78.560760902172092</v>
      </c>
      <c r="O4" s="115">
        <f t="shared" si="0"/>
        <v>79.641414575507511</v>
      </c>
      <c r="P4" s="115">
        <f t="shared" si="0"/>
        <v>80.914004457202196</v>
      </c>
      <c r="Q4" s="115">
        <f t="shared" si="0"/>
        <v>82.250559446492275</v>
      </c>
      <c r="R4" s="115">
        <f t="shared" si="0"/>
        <v>82.867917028493991</v>
      </c>
      <c r="S4" s="115">
        <f t="shared" si="0"/>
        <v>84.033664138752783</v>
      </c>
      <c r="T4" s="115">
        <f t="shared" si="0"/>
        <v>85.533724298189782</v>
      </c>
      <c r="U4" s="115">
        <f t="shared" si="0"/>
        <v>87.050274199469428</v>
      </c>
      <c r="V4" s="115">
        <f t="shared" si="0"/>
        <v>88.471152029514769</v>
      </c>
      <c r="W4" s="115">
        <f t="shared" si="0"/>
        <v>89.678554708932339</v>
      </c>
      <c r="X4" s="115">
        <f t="shared" si="0"/>
        <v>91.263614528310939</v>
      </c>
      <c r="Y4" s="115">
        <f t="shared" si="0"/>
        <v>92.480825853401797</v>
      </c>
      <c r="Z4" s="115">
        <f t="shared" si="0"/>
        <v>94.006215360206326</v>
      </c>
      <c r="AA4" s="115">
        <f t="shared" si="0"/>
        <v>95.696093665352777</v>
      </c>
      <c r="AB4" s="115">
        <f t="shared" si="0"/>
        <v>96.951685252975793</v>
      </c>
      <c r="AC4" s="115">
        <f t="shared" si="0"/>
        <v>98.513215152134464</v>
      </c>
      <c r="AD4" s="115">
        <f t="shared" si="0"/>
        <v>100.25272098048113</v>
      </c>
      <c r="AE4" s="115">
        <f t="shared" si="0"/>
        <v>101.96484787404081</v>
      </c>
      <c r="AF4" s="115">
        <f t="shared" si="0"/>
        <v>103.84030780191655</v>
      </c>
      <c r="AG4" s="115">
        <f t="shared" si="0"/>
        <v>105.28617081738349</v>
      </c>
      <c r="AH4" s="115">
        <f t="shared" si="0"/>
        <v>106.63150924487437</v>
      </c>
      <c r="AI4" s="115">
        <f t="shared" si="0"/>
        <v>107.81320007459922</v>
      </c>
      <c r="AJ4" s="115">
        <f t="shared" si="0"/>
        <v>109.07059686236417</v>
      </c>
    </row>
    <row r="5" spans="1:36" x14ac:dyDescent="0.25">
      <c r="A5" s="136" t="s">
        <v>1581</v>
      </c>
      <c r="B5" s="333">
        <f>'Cement CO2 Emissions'!B11</f>
        <v>39.535200000000003</v>
      </c>
      <c r="C5" s="333">
        <f>'Cement CO2 Emissions'!C11</f>
        <v>39.987265552000217</v>
      </c>
      <c r="D5" s="333">
        <f>'Cement CO2 Emissions'!D11</f>
        <v>41.472930918625238</v>
      </c>
      <c r="E5" s="333">
        <f>'Cement CO2 Emissions'!E11</f>
        <v>43.513475558774601</v>
      </c>
      <c r="F5" s="333">
        <f>'Cement CO2 Emissions'!F11</f>
        <v>44.670741135768907</v>
      </c>
      <c r="G5" s="333">
        <f>'Cement CO2 Emissions'!G11</f>
        <v>46.133733595087328</v>
      </c>
      <c r="H5" s="333">
        <f>'Cement CO2 Emissions'!H11</f>
        <v>47.16208069213247</v>
      </c>
      <c r="I5" s="333">
        <f>'Cement CO2 Emissions'!I11</f>
        <v>47.680897166507037</v>
      </c>
      <c r="J5" s="333">
        <f>'Cement CO2 Emissions'!J11</f>
        <v>48.392501422761853</v>
      </c>
      <c r="K5" s="333">
        <f>'Cement CO2 Emissions'!K11</f>
        <v>48.936038570151709</v>
      </c>
      <c r="L5" s="333">
        <f>'Cement CO2 Emissions'!L11</f>
        <v>49.574975506153578</v>
      </c>
      <c r="M5" s="333">
        <f>'Cement CO2 Emissions'!M11</f>
        <v>50.208600163523315</v>
      </c>
      <c r="N5" s="333">
        <f>'Cement CO2 Emissions'!N11</f>
        <v>50.703214996911257</v>
      </c>
      <c r="O5" s="333">
        <f>'Cement CO2 Emissions'!O11</f>
        <v>51.488947237324808</v>
      </c>
      <c r="P5" s="333">
        <f>'Cement CO2 Emissions'!P11</f>
        <v>52.46615975270489</v>
      </c>
      <c r="Q5" s="333">
        <f>'Cement CO2 Emissions'!Q11</f>
        <v>53.506884203701226</v>
      </c>
      <c r="R5" s="333">
        <f>'Cement CO2 Emissions'!R11</f>
        <v>53.82796082011884</v>
      </c>
      <c r="S5" s="333">
        <f>'Cement CO2 Emissions'!S11</f>
        <v>54.696979265568416</v>
      </c>
      <c r="T5" s="333">
        <f>'Cement CO2 Emissions'!T11</f>
        <v>55.899865772513493</v>
      </c>
      <c r="U5" s="333">
        <f>'Cement CO2 Emissions'!U11</f>
        <v>57.118799728738125</v>
      </c>
      <c r="V5" s="333">
        <f>'Cement CO2 Emissions'!V11</f>
        <v>58.241621999961694</v>
      </c>
      <c r="W5" s="333">
        <f>'Cement CO2 Emissions'!W11</f>
        <v>59.150532169362627</v>
      </c>
      <c r="X5" s="333">
        <f>'Cement CO2 Emissions'!X11</f>
        <v>60.436665173975413</v>
      </c>
      <c r="Y5" s="333">
        <f>'Cement CO2 Emissions'!Y11</f>
        <v>61.354518009968508</v>
      </c>
      <c r="Z5" s="333">
        <f>'Cement CO2 Emissions'!Z11</f>
        <v>62.580119967829084</v>
      </c>
      <c r="AA5" s="333">
        <f>'Cement CO2 Emissions'!AA11</f>
        <v>63.969784262836221</v>
      </c>
      <c r="AB5" s="333">
        <f>'Cement CO2 Emissions'!AB11</f>
        <v>64.924737962036389</v>
      </c>
      <c r="AC5" s="333">
        <f>'Cement CO2 Emissions'!AC11</f>
        <v>66.185208661756761</v>
      </c>
      <c r="AD5" s="333">
        <f>'Cement CO2 Emissions'!AD11</f>
        <v>67.623236531368832</v>
      </c>
      <c r="AE5" s="333">
        <f>'Cement CO2 Emissions'!AE11</f>
        <v>69.033469243161974</v>
      </c>
      <c r="AF5" s="333">
        <f>'Cement CO2 Emissions'!AF11</f>
        <v>70.606621287142403</v>
      </c>
      <c r="AG5" s="333">
        <f>'Cement CO2 Emissions'!AG11</f>
        <v>71.749765222220319</v>
      </c>
      <c r="AH5" s="333">
        <f>'Cement CO2 Emissions'!AH11</f>
        <v>72.791975863287789</v>
      </c>
      <c r="AI5" s="333">
        <f>'Cement CO2 Emissions'!AI11</f>
        <v>73.670132675930503</v>
      </c>
      <c r="AJ5" s="333">
        <f>'Cement CO2 Emissions'!AJ11</f>
        <v>74.623591676337767</v>
      </c>
    </row>
    <row r="6" spans="1:36" x14ac:dyDescent="0.25">
      <c r="A6" s="136" t="s">
        <v>1580</v>
      </c>
      <c r="B6" s="333">
        <f>'Other Industrial Processes'!D526/1000</f>
        <v>23.928000000000001</v>
      </c>
      <c r="C6" s="333">
        <f>'Other Industrial Processes'!E526/1000</f>
        <v>24.644308562053819</v>
      </c>
      <c r="D6" s="333">
        <f>'Other Industrial Processes'!F526/1000</f>
        <v>24.934027587789394</v>
      </c>
      <c r="E6" s="333">
        <f>'Other Industrial Processes'!G526/1000</f>
        <v>25.224234055901618</v>
      </c>
      <c r="F6" s="333">
        <f>'Other Industrial Processes'!H526/1000</f>
        <v>25.514925014139067</v>
      </c>
      <c r="G6" s="333">
        <f>'Other Industrial Processes'!I526/1000</f>
        <v>25.806097528130959</v>
      </c>
      <c r="H6" s="333">
        <f>'Other Industrial Processes'!J526/1000</f>
        <v>26.097748681278908</v>
      </c>
      <c r="I6" s="333">
        <f>'Other Industrial Processes'!K526/1000</f>
        <v>26.38987557464921</v>
      </c>
      <c r="J6" s="333">
        <f>'Other Industrial Processes'!L526/1000</f>
        <v>26.682475326865905</v>
      </c>
      <c r="K6" s="333">
        <f>'Other Industrial Processes'!M526/1000</f>
        <v>26.975545074004419</v>
      </c>
      <c r="L6" s="333">
        <f>'Other Industrial Processes'!N526/1000</f>
        <v>27.269081969485875</v>
      </c>
      <c r="M6" s="333">
        <f>'Other Industrial Processes'!O526/1000</f>
        <v>27.563083183972019</v>
      </c>
      <c r="N6" s="333">
        <f>'Other Industrial Processes'!P526/1000</f>
        <v>27.857545905260828</v>
      </c>
      <c r="O6" s="333">
        <f>'Other Industrial Processes'!Q526/1000</f>
        <v>28.152467338182706</v>
      </c>
      <c r="P6" s="333">
        <f>'Other Industrial Processes'!R526/1000</f>
        <v>28.447844704497307</v>
      </c>
      <c r="Q6" s="333">
        <f>'Other Industrial Processes'!S526/1000</f>
        <v>28.743675242791042</v>
      </c>
      <c r="R6" s="333">
        <f>'Other Industrial Processes'!T526/1000</f>
        <v>29.039956208375148</v>
      </c>
      <c r="S6" s="333">
        <f>'Other Industrial Processes'!U526/1000</f>
        <v>29.336684873184364</v>
      </c>
      <c r="T6" s="333">
        <f>'Other Industrial Processes'!V526/1000</f>
        <v>29.633858525676292</v>
      </c>
      <c r="U6" s="333">
        <f>'Other Industrial Processes'!W526/1000</f>
        <v>29.931474470731303</v>
      </c>
      <c r="V6" s="333">
        <f>'Other Industrial Processes'!X526/1000</f>
        <v>30.229530029553072</v>
      </c>
      <c r="W6" s="333">
        <f>'Other Industrial Processes'!Y526/1000</f>
        <v>30.528022539569712</v>
      </c>
      <c r="X6" s="333">
        <f>'Other Industrial Processes'!Z526/1000</f>
        <v>30.826949354335518</v>
      </c>
      <c r="Y6" s="333">
        <f>'Other Industrial Processes'!AA526/1000</f>
        <v>31.126307843433281</v>
      </c>
      <c r="Z6" s="333">
        <f>'Other Industrial Processes'!AB526/1000</f>
        <v>31.426095392377238</v>
      </c>
      <c r="AA6" s="333">
        <f>'Other Industrial Processes'!AC526/1000</f>
        <v>31.726309402516549</v>
      </c>
      <c r="AB6" s="333">
        <f>'Other Industrial Processes'!AD526/1000</f>
        <v>32.026947290939404</v>
      </c>
      <c r="AC6" s="333">
        <f>'Other Industrial Processes'!AE526/1000</f>
        <v>32.328006490377703</v>
      </c>
      <c r="AD6" s="333">
        <f>'Other Industrial Processes'!AF526/1000</f>
        <v>32.629484449112297</v>
      </c>
      <c r="AE6" s="333">
        <f>'Other Industrial Processes'!AG526/1000</f>
        <v>32.931378630878839</v>
      </c>
      <c r="AF6" s="333">
        <f>'Other Industrial Processes'!AH526/1000</f>
        <v>33.233686514774149</v>
      </c>
      <c r="AG6" s="333">
        <f>'Other Industrial Processes'!AI526/1000</f>
        <v>33.536405595163181</v>
      </c>
      <c r="AH6" s="333">
        <f>'Other Industrial Processes'!AJ526/1000</f>
        <v>33.839533381586584</v>
      </c>
      <c r="AI6" s="333">
        <f>'Other Industrial Processes'!AK526/1000</f>
        <v>34.143067398668727</v>
      </c>
      <c r="AJ6" s="333">
        <f>'Other Industrial Processes'!AL526/1000</f>
        <v>34.447005186026409</v>
      </c>
    </row>
    <row r="7" spans="1:36" x14ac:dyDescent="0.25">
      <c r="A7" s="111"/>
      <c r="B7" s="116"/>
      <c r="C7" s="116"/>
      <c r="D7" s="116"/>
      <c r="E7" s="116"/>
      <c r="F7" s="116"/>
      <c r="G7" s="116"/>
      <c r="H7" s="116"/>
      <c r="I7" s="116"/>
    </row>
    <row r="8" spans="1:36" x14ac:dyDescent="0.25">
      <c r="A8" s="111" t="s">
        <v>826</v>
      </c>
      <c r="B8" s="116"/>
      <c r="C8" s="116"/>
      <c r="D8" s="116"/>
      <c r="E8" s="116"/>
      <c r="F8" s="116"/>
      <c r="G8" s="116"/>
      <c r="H8" s="116"/>
      <c r="I8" s="116"/>
    </row>
    <row r="9" spans="1:36" x14ac:dyDescent="0.25">
      <c r="A9" s="113" t="s">
        <v>827</v>
      </c>
      <c r="B9" s="117">
        <f t="shared" ref="B9:AJ9" si="1">SUM(B11,B13,B15)</f>
        <v>222.97736490865597</v>
      </c>
      <c r="C9" s="117">
        <f t="shared" si="1"/>
        <v>222.03046473934339</v>
      </c>
      <c r="D9" s="117">
        <f t="shared" si="1"/>
        <v>232.4960040805928</v>
      </c>
      <c r="E9" s="117">
        <f t="shared" si="1"/>
        <v>245.52791611226715</v>
      </c>
      <c r="F9" s="117">
        <f t="shared" si="1"/>
        <v>255.7106146448437</v>
      </c>
      <c r="G9" s="117">
        <f t="shared" si="1"/>
        <v>261.09564979712394</v>
      </c>
      <c r="H9" s="117">
        <f t="shared" si="1"/>
        <v>264.892909513983</v>
      </c>
      <c r="I9" s="117">
        <f t="shared" si="1"/>
        <v>268.91229525193046</v>
      </c>
      <c r="J9" s="117">
        <f t="shared" si="1"/>
        <v>273.29910722606365</v>
      </c>
      <c r="K9" s="117">
        <f t="shared" si="1"/>
        <v>276.39137235691044</v>
      </c>
      <c r="L9" s="117">
        <f t="shared" si="1"/>
        <v>278.94097548802597</v>
      </c>
      <c r="M9" s="117">
        <f t="shared" si="1"/>
        <v>282.03578372907219</v>
      </c>
      <c r="N9" s="117">
        <f t="shared" si="1"/>
        <v>285.0827615408964</v>
      </c>
      <c r="O9" s="117">
        <f t="shared" si="1"/>
        <v>287.339512424926</v>
      </c>
      <c r="P9" s="117">
        <f t="shared" si="1"/>
        <v>288.41764372460636</v>
      </c>
      <c r="Q9" s="117">
        <f t="shared" si="1"/>
        <v>289.72301120918593</v>
      </c>
      <c r="R9" s="117">
        <f t="shared" si="1"/>
        <v>290.40021985259074</v>
      </c>
      <c r="S9" s="117">
        <f t="shared" si="1"/>
        <v>290.7788597667066</v>
      </c>
      <c r="T9" s="117">
        <f t="shared" si="1"/>
        <v>292.20471734976297</v>
      </c>
      <c r="U9" s="117">
        <f t="shared" si="1"/>
        <v>293.30346276800691</v>
      </c>
      <c r="V9" s="117">
        <f t="shared" si="1"/>
        <v>294.51513984201449</v>
      </c>
      <c r="W9" s="117">
        <f t="shared" si="1"/>
        <v>296.54097809123738</v>
      </c>
      <c r="X9" s="117">
        <f t="shared" si="1"/>
        <v>297.28784090597344</v>
      </c>
      <c r="Y9" s="117">
        <f t="shared" si="1"/>
        <v>298.64723702657773</v>
      </c>
      <c r="Z9" s="117">
        <f t="shared" si="1"/>
        <v>300.54977837877027</v>
      </c>
      <c r="AA9" s="117">
        <f t="shared" si="1"/>
        <v>302.22404924669809</v>
      </c>
      <c r="AB9" s="117">
        <f t="shared" si="1"/>
        <v>303.9001662185874</v>
      </c>
      <c r="AC9" s="117">
        <f t="shared" si="1"/>
        <v>305.4248156417508</v>
      </c>
      <c r="AD9" s="117">
        <f t="shared" si="1"/>
        <v>306.49034585153925</v>
      </c>
      <c r="AE9" s="117">
        <f t="shared" si="1"/>
        <v>306.89899869549646</v>
      </c>
      <c r="AF9" s="117">
        <f t="shared" si="1"/>
        <v>308.01679989467101</v>
      </c>
      <c r="AG9" s="117">
        <f t="shared" si="1"/>
        <v>309.57244928030042</v>
      </c>
      <c r="AH9" s="117">
        <f t="shared" si="1"/>
        <v>310.7981117084592</v>
      </c>
      <c r="AI9" s="117">
        <f t="shared" si="1"/>
        <v>311.9537712269007</v>
      </c>
      <c r="AJ9" s="117">
        <f t="shared" si="1"/>
        <v>311.60651394590946</v>
      </c>
    </row>
    <row r="10" spans="1:36" x14ac:dyDescent="0.25">
      <c r="A10" s="113" t="s">
        <v>828</v>
      </c>
      <c r="B10" s="117">
        <f t="shared" ref="B10:AJ10" si="2">B12+B14+B16</f>
        <v>93.120451068393308</v>
      </c>
      <c r="C10" s="117">
        <f t="shared" si="2"/>
        <v>97.083175093001145</v>
      </c>
      <c r="D10" s="117">
        <f t="shared" si="2"/>
        <v>101.83494326988256</v>
      </c>
      <c r="E10" s="117">
        <f t="shared" si="2"/>
        <v>106.72117766421533</v>
      </c>
      <c r="F10" s="117">
        <f t="shared" si="2"/>
        <v>109.95785158500414</v>
      </c>
      <c r="G10" s="117">
        <f t="shared" si="2"/>
        <v>111.38302584364206</v>
      </c>
      <c r="H10" s="117">
        <f t="shared" si="2"/>
        <v>112.9805826829282</v>
      </c>
      <c r="I10" s="117">
        <f t="shared" si="2"/>
        <v>114.32148657677331</v>
      </c>
      <c r="J10" s="117">
        <f t="shared" si="2"/>
        <v>115.82399426064632</v>
      </c>
      <c r="K10" s="117">
        <f t="shared" si="2"/>
        <v>116.90282164193431</v>
      </c>
      <c r="L10" s="117">
        <f t="shared" si="2"/>
        <v>117.76957213485426</v>
      </c>
      <c r="M10" s="117">
        <f t="shared" si="2"/>
        <v>119.02144552682273</v>
      </c>
      <c r="N10" s="117">
        <f t="shared" si="2"/>
        <v>120.09811278789644</v>
      </c>
      <c r="O10" s="117">
        <f t="shared" si="2"/>
        <v>120.83802832443948</v>
      </c>
      <c r="P10" s="117">
        <f t="shared" si="2"/>
        <v>121.26456849252054</v>
      </c>
      <c r="Q10" s="117">
        <f t="shared" si="2"/>
        <v>121.9492853150478</v>
      </c>
      <c r="R10" s="117">
        <f t="shared" si="2"/>
        <v>122.2198385714706</v>
      </c>
      <c r="S10" s="117">
        <f t="shared" si="2"/>
        <v>122.47345780952728</v>
      </c>
      <c r="T10" s="117">
        <f t="shared" si="2"/>
        <v>123.22599492116792</v>
      </c>
      <c r="U10" s="117">
        <f t="shared" si="2"/>
        <v>123.57297857429602</v>
      </c>
      <c r="V10" s="117">
        <f t="shared" si="2"/>
        <v>124.06665995827353</v>
      </c>
      <c r="W10" s="117">
        <f t="shared" si="2"/>
        <v>124.90906486260988</v>
      </c>
      <c r="X10" s="117">
        <f t="shared" si="2"/>
        <v>124.98981549590565</v>
      </c>
      <c r="Y10" s="117">
        <f t="shared" si="2"/>
        <v>125.57952020604782</v>
      </c>
      <c r="Z10" s="117">
        <f t="shared" si="2"/>
        <v>126.43774600196369</v>
      </c>
      <c r="AA10" s="117">
        <f t="shared" si="2"/>
        <v>127.01777159144456</v>
      </c>
      <c r="AB10" s="117">
        <f t="shared" si="2"/>
        <v>127.60538659731012</v>
      </c>
      <c r="AC10" s="117">
        <f t="shared" si="2"/>
        <v>128.03617410659027</v>
      </c>
      <c r="AD10" s="117">
        <f t="shared" si="2"/>
        <v>128.31465123633382</v>
      </c>
      <c r="AE10" s="117">
        <f t="shared" si="2"/>
        <v>128.19697796348373</v>
      </c>
      <c r="AF10" s="117">
        <f t="shared" si="2"/>
        <v>128.55597630001432</v>
      </c>
      <c r="AG10" s="117">
        <f t="shared" si="2"/>
        <v>129.10968345162783</v>
      </c>
      <c r="AH10" s="117">
        <f t="shared" si="2"/>
        <v>129.40520305557192</v>
      </c>
      <c r="AI10" s="117">
        <f t="shared" si="2"/>
        <v>129.63966471998245</v>
      </c>
      <c r="AJ10" s="117">
        <f t="shared" si="2"/>
        <v>130.24851386191256</v>
      </c>
    </row>
    <row r="11" spans="1:36" x14ac:dyDescent="0.25">
      <c r="A11" s="120" t="s">
        <v>862</v>
      </c>
      <c r="B11" s="119">
        <f>'Petroleum Systems'!B72*'Cross-Page Data'!$C$12/1000</f>
        <v>40.908000000000001</v>
      </c>
      <c r="C11" s="119">
        <f>'Petroleum Systems'!C72*'Cross-Page Data'!$C$12/1000</f>
        <v>43.227326790944495</v>
      </c>
      <c r="D11" s="119">
        <f>'Petroleum Systems'!D72*'Cross-Page Data'!$C$12/1000</f>
        <v>46.439973594858834</v>
      </c>
      <c r="E11" s="119">
        <f>'Petroleum Systems'!E72*'Cross-Page Data'!$C$12/1000</f>
        <v>48.699732570702189</v>
      </c>
      <c r="F11" s="119">
        <f>'Petroleum Systems'!F72*'Cross-Page Data'!$C$12/1000</f>
        <v>49.953588559727265</v>
      </c>
      <c r="G11" s="119">
        <f>'Petroleum Systems'!G72*'Cross-Page Data'!$C$12/1000</f>
        <v>51.198506037698678</v>
      </c>
      <c r="H11" s="119">
        <f>'Petroleum Systems'!H72*'Cross-Page Data'!$C$12/1000</f>
        <v>51.810016803594358</v>
      </c>
      <c r="I11" s="119">
        <f>'Petroleum Systems'!I72*'Cross-Page Data'!$C$12/1000</f>
        <v>51.917030718521332</v>
      </c>
      <c r="J11" s="119">
        <f>'Petroleum Systems'!J72*'Cross-Page Data'!$C$12/1000</f>
        <v>52.923192385665963</v>
      </c>
      <c r="K11" s="119">
        <f>'Petroleum Systems'!K72*'Cross-Page Data'!$C$12/1000</f>
        <v>53.032116460187105</v>
      </c>
      <c r="L11" s="119">
        <f>'Petroleum Systems'!L72*'Cross-Page Data'!$C$12/1000</f>
        <v>53.293137357393427</v>
      </c>
      <c r="M11" s="119">
        <f>'Petroleum Systems'!M72*'Cross-Page Data'!$C$12/1000</f>
        <v>53.765323552031376</v>
      </c>
      <c r="N11" s="119">
        <f>'Petroleum Systems'!N72*'Cross-Page Data'!$C$12/1000</f>
        <v>54.055520205806666</v>
      </c>
      <c r="O11" s="119">
        <f>'Petroleum Systems'!O72*'Cross-Page Data'!$C$12/1000</f>
        <v>54.31600548748056</v>
      </c>
      <c r="P11" s="119">
        <f>'Petroleum Systems'!P72*'Cross-Page Data'!$C$12/1000</f>
        <v>54.450063824730144</v>
      </c>
      <c r="Q11" s="119">
        <f>'Petroleum Systems'!Q72*'Cross-Page Data'!$C$12/1000</f>
        <v>54.997623063720745</v>
      </c>
      <c r="R11" s="119">
        <f>'Petroleum Systems'!R72*'Cross-Page Data'!$C$12/1000</f>
        <v>54.999831510935266</v>
      </c>
      <c r="S11" s="119">
        <f>'Petroleum Systems'!S72*'Cross-Page Data'!$C$12/1000</f>
        <v>54.904536538057286</v>
      </c>
      <c r="T11" s="119">
        <f>'Petroleum Systems'!T72*'Cross-Page Data'!$C$12/1000</f>
        <v>55.260503760267497</v>
      </c>
      <c r="U11" s="119">
        <f>'Petroleum Systems'!U72*'Cross-Page Data'!$C$12/1000</f>
        <v>55.178029871254658</v>
      </c>
      <c r="V11" s="119">
        <f>'Petroleum Systems'!V72*'Cross-Page Data'!$C$12/1000</f>
        <v>55.054376010843768</v>
      </c>
      <c r="W11" s="119">
        <f>'Petroleum Systems'!W72*'Cross-Page Data'!$C$12/1000</f>
        <v>55.408746697187247</v>
      </c>
      <c r="X11" s="119">
        <f>'Petroleum Systems'!X72*'Cross-Page Data'!$C$12/1000</f>
        <v>54.786731579899602</v>
      </c>
      <c r="Y11" s="119">
        <f>'Petroleum Systems'!Y72*'Cross-Page Data'!$C$12/1000</f>
        <v>54.953984881643208</v>
      </c>
      <c r="Z11" s="119">
        <f>'Petroleum Systems'!Z72*'Cross-Page Data'!$C$12/1000</f>
        <v>55.399491861294145</v>
      </c>
      <c r="AA11" s="119">
        <f>'Petroleum Systems'!AA72*'Cross-Page Data'!$C$12/1000</f>
        <v>55.58485463466787</v>
      </c>
      <c r="AB11" s="119">
        <f>'Petroleum Systems'!AB72*'Cross-Page Data'!$C$12/1000</f>
        <v>55.6118800869232</v>
      </c>
      <c r="AC11" s="119">
        <f>'Petroleum Systems'!AC72*'Cross-Page Data'!$C$12/1000</f>
        <v>55.443085734359613</v>
      </c>
      <c r="AD11" s="119">
        <f>'Petroleum Systems'!AD72*'Cross-Page Data'!$C$12/1000</f>
        <v>55.059257489746955</v>
      </c>
      <c r="AE11" s="119">
        <f>'Petroleum Systems'!AE72*'Cross-Page Data'!$C$12/1000</f>
        <v>54.091198827727311</v>
      </c>
      <c r="AF11" s="119">
        <f>'Petroleum Systems'!AF72*'Cross-Page Data'!$C$12/1000</f>
        <v>53.741805669802837</v>
      </c>
      <c r="AG11" s="119">
        <f>'Petroleum Systems'!AG72*'Cross-Page Data'!$C$12/1000</f>
        <v>53.680587519302144</v>
      </c>
      <c r="AH11" s="119">
        <f>'Petroleum Systems'!AH72*'Cross-Page Data'!$C$12/1000</f>
        <v>53.10417993052711</v>
      </c>
      <c r="AI11" s="119">
        <f>'Petroleum Systems'!AI72*'Cross-Page Data'!$C$12/1000</f>
        <v>52.801279199761083</v>
      </c>
      <c r="AJ11" s="119">
        <f>'Petroleum Systems'!AJ72*'Cross-Page Data'!$C$12/1000</f>
        <v>52.654034798486393</v>
      </c>
    </row>
    <row r="12" spans="1:36" x14ac:dyDescent="0.25">
      <c r="A12" s="134" t="s">
        <v>864</v>
      </c>
      <c r="B12" s="119">
        <f>'Petroleum Systems'!B73</f>
        <v>22.728000000000002</v>
      </c>
      <c r="C12" s="119">
        <f>'Petroleum Systems'!C73</f>
        <v>26.348705994330807</v>
      </c>
      <c r="D12" s="119">
        <f>'Petroleum Systems'!D73</f>
        <v>28.09023976796307</v>
      </c>
      <c r="E12" s="119">
        <f>'Petroleum Systems'!E73</f>
        <v>29.380387109160964</v>
      </c>
      <c r="F12" s="119">
        <f>'Petroleum Systems'!F73</f>
        <v>30.215522173136094</v>
      </c>
      <c r="G12" s="119">
        <f>'Petroleum Systems'!G73</f>
        <v>30.876265310936237</v>
      </c>
      <c r="H12" s="119">
        <f>'Petroleum Systems'!H73</f>
        <v>31.197335971423595</v>
      </c>
      <c r="I12" s="119">
        <f>'Petroleum Systems'!I73</f>
        <v>31.248933789601828</v>
      </c>
      <c r="J12" s="119">
        <f>'Petroleum Systems'!J73</f>
        <v>31.761860129127424</v>
      </c>
      <c r="K12" s="119">
        <f>'Petroleum Systems'!K73</f>
        <v>31.796488194580135</v>
      </c>
      <c r="L12" s="119">
        <f>'Petroleum Systems'!L73</f>
        <v>31.864070794198398</v>
      </c>
      <c r="M12" s="119">
        <f>'Petroleum Systems'!M73</f>
        <v>32.109237732278842</v>
      </c>
      <c r="N12" s="119">
        <f>'Petroleum Systems'!N73</f>
        <v>32.259817295907986</v>
      </c>
      <c r="O12" s="119">
        <f>'Petroleum Systems'!O73</f>
        <v>32.415028253039097</v>
      </c>
      <c r="P12" s="119">
        <f>'Petroleum Systems'!P73</f>
        <v>32.488212127501399</v>
      </c>
      <c r="Q12" s="119">
        <f>'Petroleum Systems'!Q73</f>
        <v>32.805483012165908</v>
      </c>
      <c r="R12" s="119">
        <f>'Petroleum Systems'!R73</f>
        <v>32.807370084556894</v>
      </c>
      <c r="S12" s="119">
        <f>'Petroleum Systems'!S73</f>
        <v>32.76078663175376</v>
      </c>
      <c r="T12" s="119">
        <f>'Petroleum Systems'!T73</f>
        <v>32.95486636468344</v>
      </c>
      <c r="U12" s="119">
        <f>'Petroleum Systems'!U73</f>
        <v>32.936279664762345</v>
      </c>
      <c r="V12" s="119">
        <f>'Petroleum Systems'!V73</f>
        <v>32.871724973341628</v>
      </c>
      <c r="W12" s="119">
        <f>'Petroleum Systems'!W73</f>
        <v>33.059512285766942</v>
      </c>
      <c r="X12" s="119">
        <f>'Petroleum Systems'!X73</f>
        <v>32.742671075329994</v>
      </c>
      <c r="Y12" s="119">
        <f>'Petroleum Systems'!Y73</f>
        <v>32.847023837261027</v>
      </c>
      <c r="Z12" s="119">
        <f>'Petroleum Systems'!Z73</f>
        <v>33.088627151866135</v>
      </c>
      <c r="AA12" s="119">
        <f>'Petroleum Systems'!AA73</f>
        <v>33.185173238895352</v>
      </c>
      <c r="AB12" s="119">
        <f>'Petroleum Systems'!AB73</f>
        <v>33.187083876624079</v>
      </c>
      <c r="AC12" s="119">
        <f>'Petroleum Systems'!AC73</f>
        <v>33.0967279430579</v>
      </c>
      <c r="AD12" s="119">
        <f>'Petroleum Systems'!AD73</f>
        <v>32.868488722512843</v>
      </c>
      <c r="AE12" s="119">
        <f>'Petroleum Systems'!AE73</f>
        <v>32.333053613930531</v>
      </c>
      <c r="AF12" s="119">
        <f>'Petroleum Systems'!AF73</f>
        <v>32.133313626409866</v>
      </c>
      <c r="AG12" s="119">
        <f>'Petroleum Systems'!AG73</f>
        <v>32.100191058998419</v>
      </c>
      <c r="AH12" s="119">
        <f>'Petroleum Systems'!AH73</f>
        <v>31.79442716940007</v>
      </c>
      <c r="AI12" s="119">
        <f>'Petroleum Systems'!AI73</f>
        <v>31.622137230268624</v>
      </c>
      <c r="AJ12" s="119">
        <f>'Petroleum Systems'!AJ73</f>
        <v>31.54362844621954</v>
      </c>
    </row>
    <row r="13" spans="1:36" x14ac:dyDescent="0.25">
      <c r="A13" s="118" t="s">
        <v>863</v>
      </c>
      <c r="B13" s="119">
        <f>'Natural Gas Systems'!C199*CH4_to_CO2e/1000</f>
        <v>181.78936490865598</v>
      </c>
      <c r="C13" s="119">
        <f>'Natural Gas Systems'!D199*CH4_to_CO2e/1000</f>
        <v>178.50073794839889</v>
      </c>
      <c r="D13" s="119">
        <f>'Natural Gas Systems'!E199*CH4_to_CO2e/1000</f>
        <v>185.73123048573396</v>
      </c>
      <c r="E13" s="119">
        <f>'Natural Gas Systems'!F199*CH4_to_CO2e/1000</f>
        <v>196.48098354156497</v>
      </c>
      <c r="F13" s="119">
        <f>'Natural Gas Systems'!G199*CH4_to_CO2e/1000</f>
        <v>205.38742608511643</v>
      </c>
      <c r="G13" s="119">
        <f>'Natural Gas Systems'!H199*CH4_to_CO2e/1000</f>
        <v>209.50514375942527</v>
      </c>
      <c r="H13" s="119">
        <f>'Natural Gas Systems'!I199*CH4_to_CO2e/1000</f>
        <v>212.66849271038862</v>
      </c>
      <c r="I13" s="119">
        <f>'Natural Gas Systems'!J199*CH4_to_CO2e/1000</f>
        <v>216.55846453340911</v>
      </c>
      <c r="J13" s="119">
        <f>'Natural Gas Systems'!K199*CH4_to_CO2e/1000</f>
        <v>219.9167148403977</v>
      </c>
      <c r="K13" s="119">
        <f>'Natural Gas Systems'!L199*CH4_to_CO2e/1000</f>
        <v>222.8776558967233</v>
      </c>
      <c r="L13" s="119">
        <f>'Natural Gas Systems'!M199*CH4_to_CO2e/1000</f>
        <v>225.1438381306325</v>
      </c>
      <c r="M13" s="119">
        <f>'Natural Gas Systems'!N199*CH4_to_CO2e/1000</f>
        <v>227.74406017704078</v>
      </c>
      <c r="N13" s="119">
        <f>'Natural Gas Systems'!O199*CH4_to_CO2e/1000</f>
        <v>230.47844133508968</v>
      </c>
      <c r="O13" s="119">
        <f>'Natural Gas Systems'!P199*CH4_to_CO2e/1000</f>
        <v>232.45230693744546</v>
      </c>
      <c r="P13" s="119">
        <f>'Natural Gas Systems'!Q199*CH4_to_CO2e/1000</f>
        <v>233.37397989987622</v>
      </c>
      <c r="Q13" s="119">
        <f>'Natural Gas Systems'!R199*CH4_to_CO2e/1000</f>
        <v>234.10938814546518</v>
      </c>
      <c r="R13" s="119">
        <f>'Natural Gas Systems'!S199*CH4_to_CO2e/1000</f>
        <v>234.76198834165547</v>
      </c>
      <c r="S13" s="119">
        <f>'Natural Gas Systems'!T199*CH4_to_CO2e/1000</f>
        <v>235.21352322864934</v>
      </c>
      <c r="T13" s="119">
        <f>'Natural Gas Systems'!U199*CH4_to_CO2e/1000</f>
        <v>236.26101358949549</v>
      </c>
      <c r="U13" s="119">
        <f>'Natural Gas Systems'!V199*CH4_to_CO2e/1000</f>
        <v>237.41983289675224</v>
      </c>
      <c r="V13" s="119">
        <f>'Natural Gas Systems'!W199*CH4_to_CO2e/1000</f>
        <v>238.73276383117073</v>
      </c>
      <c r="W13" s="119">
        <f>'Natural Gas Systems'!X199*CH4_to_CO2e/1000</f>
        <v>240.3818313940501</v>
      </c>
      <c r="X13" s="119">
        <f>'Natural Gas Systems'!Y199*CH4_to_CO2e/1000</f>
        <v>241.72830932607383</v>
      </c>
      <c r="Y13" s="119">
        <f>'Natural Gas Systems'!Z199*CH4_to_CO2e/1000</f>
        <v>242.89805214493447</v>
      </c>
      <c r="Z13" s="119">
        <f>'Natural Gas Systems'!AA199*CH4_to_CO2e/1000</f>
        <v>244.33268651747608</v>
      </c>
      <c r="AA13" s="119">
        <f>'Natural Gas Systems'!AB199*CH4_to_CO2e/1000</f>
        <v>245.79919461203022</v>
      </c>
      <c r="AB13" s="119">
        <f>'Natural Gas Systems'!AC199*CH4_to_CO2e/1000</f>
        <v>247.42588613166421</v>
      </c>
      <c r="AC13" s="119">
        <f>'Natural Gas Systems'!AD199*CH4_to_CO2e/1000</f>
        <v>249.0969299073912</v>
      </c>
      <c r="AD13" s="119">
        <f>'Natural Gas Systems'!AE199*CH4_to_CO2e/1000</f>
        <v>250.5238883617923</v>
      </c>
      <c r="AE13" s="119">
        <f>'Natural Gas Systems'!AF199*CH4_to_CO2e/1000</f>
        <v>251.87819986776913</v>
      </c>
      <c r="AF13" s="119">
        <f>'Natural Gas Systems'!AG199*CH4_to_CO2e/1000</f>
        <v>253.32299422486815</v>
      </c>
      <c r="AG13" s="119">
        <f>'Natural Gas Systems'!AH199*CH4_to_CO2e/1000</f>
        <v>254.91746176099826</v>
      </c>
      <c r="AH13" s="119">
        <f>'Natural Gas Systems'!AI199*CH4_to_CO2e/1000</f>
        <v>256.6971317779321</v>
      </c>
      <c r="AI13" s="119">
        <f>'Natural Gas Systems'!AJ199*CH4_to_CO2e/1000</f>
        <v>258.13329202713959</v>
      </c>
      <c r="AJ13" s="119">
        <f>'Natural Gas Systems'!AK199*CH4_to_CO2e/1000</f>
        <v>257.91087914742303</v>
      </c>
    </row>
    <row r="14" spans="1:36" x14ac:dyDescent="0.25">
      <c r="A14" s="120" t="s">
        <v>1582</v>
      </c>
      <c r="B14" s="119">
        <f>'Other Industrial Processes'!D531/1000</f>
        <v>28.11</v>
      </c>
      <c r="C14" s="119">
        <f>'Other Industrial Processes'!E531/1000</f>
        <v>28.202300000000001</v>
      </c>
      <c r="D14" s="119">
        <f>'Other Industrial Processes'!F531/1000</f>
        <v>28.294599999999999</v>
      </c>
      <c r="E14" s="119">
        <f>'Other Industrial Processes'!G531/1000</f>
        <v>28.386899999999997</v>
      </c>
      <c r="F14" s="119">
        <f>'Other Industrial Processes'!H531/1000</f>
        <v>28.479199999999999</v>
      </c>
      <c r="G14" s="119">
        <f>'Other Industrial Processes'!I531/1000</f>
        <v>28.571499999999997</v>
      </c>
      <c r="H14" s="119">
        <f>'Other Industrial Processes'!J531/1000</f>
        <v>28.663799999999995</v>
      </c>
      <c r="I14" s="119">
        <f>'Other Industrial Processes'!K531/1000</f>
        <v>28.756099999999996</v>
      </c>
      <c r="J14" s="119">
        <f>'Other Industrial Processes'!L531/1000</f>
        <v>28.848399999999994</v>
      </c>
      <c r="K14" s="119">
        <f>'Other Industrial Processes'!M531/1000</f>
        <v>28.940699999999993</v>
      </c>
      <c r="L14" s="119">
        <f>'Other Industrial Processes'!N531/1000</f>
        <v>29.032999999999994</v>
      </c>
      <c r="M14" s="119">
        <f>'Other Industrial Processes'!O531/1000</f>
        <v>29.125299999999992</v>
      </c>
      <c r="N14" s="119">
        <f>'Other Industrial Processes'!P531/1000</f>
        <v>29.21759999999999</v>
      </c>
      <c r="O14" s="119">
        <f>'Other Industrial Processes'!Q531/1000</f>
        <v>29.309899999999992</v>
      </c>
      <c r="P14" s="119">
        <f>'Other Industrial Processes'!R531/1000</f>
        <v>29.40219999999999</v>
      </c>
      <c r="Q14" s="119">
        <f>'Other Industrial Processes'!S531/1000</f>
        <v>29.494499999999988</v>
      </c>
      <c r="R14" s="119">
        <f>'Other Industrial Processes'!T531/1000</f>
        <v>29.58679999999999</v>
      </c>
      <c r="S14" s="119">
        <f>'Other Industrial Processes'!U531/1000</f>
        <v>29.679099999999988</v>
      </c>
      <c r="T14" s="119">
        <f>'Other Industrial Processes'!V531/1000</f>
        <v>29.771399999999986</v>
      </c>
      <c r="U14" s="119">
        <f>'Other Industrial Processes'!W531/1000</f>
        <v>29.863699999999987</v>
      </c>
      <c r="V14" s="119">
        <f>'Other Industrial Processes'!X531/1000</f>
        <v>29.955999999999985</v>
      </c>
      <c r="W14" s="119">
        <f>'Other Industrial Processes'!Y531/1000</f>
        <v>30.048299999999983</v>
      </c>
      <c r="X14" s="119">
        <f>'Other Industrial Processes'!Z531/1000</f>
        <v>30.140599999999985</v>
      </c>
      <c r="Y14" s="119">
        <f>'Other Industrial Processes'!AA531/1000</f>
        <v>30.232899999999983</v>
      </c>
      <c r="Z14" s="119">
        <f>'Other Industrial Processes'!AB531/1000</f>
        <v>30.325199999999981</v>
      </c>
      <c r="AA14" s="119">
        <f>'Other Industrial Processes'!AC531/1000</f>
        <v>30.417499999999983</v>
      </c>
      <c r="AB14" s="119">
        <f>'Other Industrial Processes'!AD531/1000</f>
        <v>30.509799999999981</v>
      </c>
      <c r="AC14" s="119">
        <f>'Other Industrial Processes'!AE531/1000</f>
        <v>30.602099999999979</v>
      </c>
      <c r="AD14" s="119">
        <f>'Other Industrial Processes'!AF531/1000</f>
        <v>30.69439999999998</v>
      </c>
      <c r="AE14" s="119">
        <f>'Other Industrial Processes'!AG531/1000</f>
        <v>30.786699999999978</v>
      </c>
      <c r="AF14" s="119">
        <f>'Other Industrial Processes'!AH531/1000</f>
        <v>30.878999999999976</v>
      </c>
      <c r="AG14" s="119">
        <f>'Other Industrial Processes'!AI531/1000</f>
        <v>30.971299999999978</v>
      </c>
      <c r="AH14" s="119">
        <f>'Other Industrial Processes'!AJ531/1000</f>
        <v>31.063599999999976</v>
      </c>
      <c r="AI14" s="119">
        <f>'Other Industrial Processes'!AK531/1000</f>
        <v>31.155899999999978</v>
      </c>
      <c r="AJ14" s="119">
        <f>'Other Industrial Processes'!AL531/1000</f>
        <v>31.248199999999976</v>
      </c>
    </row>
    <row r="15" spans="1:36" x14ac:dyDescent="0.25">
      <c r="A15" s="120" t="s">
        <v>1583</v>
      </c>
      <c r="B15" s="119">
        <f>'Other Industrial Processes'!D530/1000*CH4_to_CO2e</f>
        <v>0.28000000000000003</v>
      </c>
      <c r="C15" s="119">
        <f>'Other Industrial Processes'!E530/1000*CH4_to_CO2e</f>
        <v>0.3024</v>
      </c>
      <c r="D15" s="119">
        <f>'Other Industrial Processes'!F530/1000*CH4_to_CO2e</f>
        <v>0.32480000000000003</v>
      </c>
      <c r="E15" s="119">
        <f>'Other Industrial Processes'!G530/1000*CH4_to_CO2e</f>
        <v>0.34720000000000006</v>
      </c>
      <c r="F15" s="119">
        <f>'Other Industrial Processes'!H530/1000*CH4_to_CO2e</f>
        <v>0.3696000000000001</v>
      </c>
      <c r="G15" s="119">
        <f>'Other Industrial Processes'!I530/1000*CH4_to_CO2e</f>
        <v>0.39200000000000013</v>
      </c>
      <c r="H15" s="119">
        <f>'Other Industrial Processes'!J530/1000*CH4_to_CO2e</f>
        <v>0.4144000000000001</v>
      </c>
      <c r="I15" s="119">
        <f>'Other Industrial Processes'!K530/1000*CH4_to_CO2e</f>
        <v>0.43680000000000013</v>
      </c>
      <c r="J15" s="119">
        <f>'Other Industrial Processes'!L530/1000*CH4_to_CO2e</f>
        <v>0.45920000000000016</v>
      </c>
      <c r="K15" s="119">
        <f>'Other Industrial Processes'!M530/1000*CH4_to_CO2e</f>
        <v>0.48160000000000019</v>
      </c>
      <c r="L15" s="119">
        <f>'Other Industrial Processes'!N530/1000*CH4_to_CO2e</f>
        <v>0.50400000000000011</v>
      </c>
      <c r="M15" s="119">
        <f>'Other Industrial Processes'!O530/1000*CH4_to_CO2e</f>
        <v>0.5264000000000002</v>
      </c>
      <c r="N15" s="119">
        <f>'Other Industrial Processes'!P530/1000*CH4_to_CO2e</f>
        <v>0.54880000000000029</v>
      </c>
      <c r="O15" s="119">
        <f>'Other Industrial Processes'!Q530/1000*CH4_to_CO2e</f>
        <v>0.57120000000000026</v>
      </c>
      <c r="P15" s="119">
        <f>'Other Industrial Processes'!R530/1000*CH4_to_CO2e</f>
        <v>0.59360000000000035</v>
      </c>
      <c r="Q15" s="119">
        <f>'Other Industrial Processes'!S530/1000*CH4_to_CO2e</f>
        <v>0.61600000000000021</v>
      </c>
      <c r="R15" s="119">
        <f>'Other Industrial Processes'!T530/1000*CH4_to_CO2e</f>
        <v>0.6384000000000003</v>
      </c>
      <c r="S15" s="119">
        <f>'Other Industrial Processes'!U530/1000*CH4_to_CO2e</f>
        <v>0.66080000000000039</v>
      </c>
      <c r="T15" s="119">
        <f>'Other Industrial Processes'!V530/1000*CH4_to_CO2e</f>
        <v>0.68320000000000036</v>
      </c>
      <c r="U15" s="119">
        <f>'Other Industrial Processes'!W530/1000*CH4_to_CO2e</f>
        <v>0.70560000000000045</v>
      </c>
      <c r="V15" s="119">
        <f>'Other Industrial Processes'!X530/1000*CH4_to_CO2e</f>
        <v>0.72800000000000031</v>
      </c>
      <c r="W15" s="119">
        <f>'Other Industrial Processes'!Y530/1000*CH4_to_CO2e</f>
        <v>0.7504000000000004</v>
      </c>
      <c r="X15" s="119">
        <f>'Other Industrial Processes'!Z530/1000*CH4_to_CO2e</f>
        <v>0.77280000000000049</v>
      </c>
      <c r="Y15" s="119">
        <f>'Other Industrial Processes'!AA530/1000*CH4_to_CO2e</f>
        <v>0.79520000000000046</v>
      </c>
      <c r="Z15" s="119">
        <f>'Other Industrial Processes'!AB530/1000*CH4_to_CO2e</f>
        <v>0.81760000000000055</v>
      </c>
      <c r="AA15" s="119">
        <f>'Other Industrial Processes'!AC530/1000*CH4_to_CO2e</f>
        <v>0.84000000000000041</v>
      </c>
      <c r="AB15" s="119">
        <f>'Other Industrial Processes'!AD530/1000*CH4_to_CO2e</f>
        <v>0.8624000000000005</v>
      </c>
      <c r="AC15" s="119">
        <f>'Other Industrial Processes'!AE530/1000*CH4_to_CO2e</f>
        <v>0.88480000000000047</v>
      </c>
      <c r="AD15" s="119">
        <f>'Other Industrial Processes'!AF530/1000*CH4_to_CO2e</f>
        <v>0.90720000000000056</v>
      </c>
      <c r="AE15" s="119">
        <f>'Other Industrial Processes'!AG530/1000*CH4_to_CO2e</f>
        <v>0.92960000000000043</v>
      </c>
      <c r="AF15" s="119">
        <f>'Other Industrial Processes'!AH530/1000*CH4_to_CO2e</f>
        <v>0.9520000000000004</v>
      </c>
      <c r="AG15" s="119">
        <f>'Other Industrial Processes'!AI530/1000*CH4_to_CO2e</f>
        <v>0.97440000000000038</v>
      </c>
      <c r="AH15" s="119">
        <f>'Other Industrial Processes'!AJ530/1000*CH4_to_CO2e</f>
        <v>0.99680000000000013</v>
      </c>
      <c r="AI15" s="119">
        <f>'Other Industrial Processes'!AK530/1000*CH4_to_CO2e</f>
        <v>1.0192000000000003</v>
      </c>
      <c r="AJ15" s="119">
        <f>'Other Industrial Processes'!AL530/1000*CH4_to_CO2e</f>
        <v>1.0416000000000001</v>
      </c>
    </row>
    <row r="16" spans="1:36" x14ac:dyDescent="0.25">
      <c r="A16" s="120" t="s">
        <v>1716</v>
      </c>
      <c r="B16" s="119">
        <f>'Natural Gas Systems'!C200</f>
        <v>42.282451068393307</v>
      </c>
      <c r="C16" s="119">
        <f>'Natural Gas Systems'!D200</f>
        <v>42.532169098670337</v>
      </c>
      <c r="D16" s="119">
        <f>'Natural Gas Systems'!E200</f>
        <v>45.450103501919493</v>
      </c>
      <c r="E16" s="119">
        <f>'Natural Gas Systems'!F200</f>
        <v>48.953890555054372</v>
      </c>
      <c r="F16" s="119">
        <f>'Natural Gas Systems'!G200</f>
        <v>51.263129411868036</v>
      </c>
      <c r="G16" s="119">
        <f>'Natural Gas Systems'!H200</f>
        <v>51.935260532705833</v>
      </c>
      <c r="H16" s="119">
        <f>'Natural Gas Systems'!I200</f>
        <v>53.119446711504608</v>
      </c>
      <c r="I16" s="119">
        <f>'Natural Gas Systems'!J200</f>
        <v>54.316452787171492</v>
      </c>
      <c r="J16" s="119">
        <f>'Natural Gas Systems'!K200</f>
        <v>55.213734131518891</v>
      </c>
      <c r="K16" s="119">
        <f>'Natural Gas Systems'!L200</f>
        <v>56.165633447354189</v>
      </c>
      <c r="L16" s="119">
        <f>'Natural Gas Systems'!M200</f>
        <v>56.872501340655859</v>
      </c>
      <c r="M16" s="119">
        <f>'Natural Gas Systems'!N200</f>
        <v>57.786907794543893</v>
      </c>
      <c r="N16" s="119">
        <f>'Natural Gas Systems'!O200</f>
        <v>58.620695491988471</v>
      </c>
      <c r="O16" s="119">
        <f>'Natural Gas Systems'!P200</f>
        <v>59.113100071400382</v>
      </c>
      <c r="P16" s="119">
        <f>'Natural Gas Systems'!Q200</f>
        <v>59.374156365019147</v>
      </c>
      <c r="Q16" s="119">
        <f>'Natural Gas Systems'!R200</f>
        <v>59.6493023028819</v>
      </c>
      <c r="R16" s="119">
        <f>'Natural Gas Systems'!S200</f>
        <v>59.825668486913727</v>
      </c>
      <c r="S16" s="119">
        <f>'Natural Gas Systems'!T200</f>
        <v>60.033571177773524</v>
      </c>
      <c r="T16" s="119">
        <f>'Natural Gas Systems'!U200</f>
        <v>60.499728556484499</v>
      </c>
      <c r="U16" s="119">
        <f>'Natural Gas Systems'!V200</f>
        <v>60.772998909533683</v>
      </c>
      <c r="V16" s="119">
        <f>'Natural Gas Systems'!W200</f>
        <v>61.238934984931923</v>
      </c>
      <c r="W16" s="119">
        <f>'Natural Gas Systems'!X200</f>
        <v>61.801252576842963</v>
      </c>
      <c r="X16" s="119">
        <f>'Natural Gas Systems'!Y200</f>
        <v>62.106544420575659</v>
      </c>
      <c r="Y16" s="119">
        <f>'Natural Gas Systems'!Z200</f>
        <v>62.499596368786818</v>
      </c>
      <c r="Z16" s="119">
        <f>'Natural Gas Systems'!AA200</f>
        <v>63.02391885009758</v>
      </c>
      <c r="AA16" s="119">
        <f>'Natural Gas Systems'!AB200</f>
        <v>63.415098352549229</v>
      </c>
      <c r="AB16" s="119">
        <f>'Natural Gas Systems'!AC200</f>
        <v>63.908502720686052</v>
      </c>
      <c r="AC16" s="119">
        <f>'Natural Gas Systems'!AD200</f>
        <v>64.337346163532388</v>
      </c>
      <c r="AD16" s="119">
        <f>'Natural Gas Systems'!AE200</f>
        <v>64.751762513821006</v>
      </c>
      <c r="AE16" s="119">
        <f>'Natural Gas Systems'!AF200</f>
        <v>65.077224349553219</v>
      </c>
      <c r="AF16" s="119">
        <f>'Natural Gas Systems'!AG200</f>
        <v>65.543662673604473</v>
      </c>
      <c r="AG16" s="119">
        <f>'Natural Gas Systems'!AH200</f>
        <v>66.038192392629441</v>
      </c>
      <c r="AH16" s="119">
        <f>'Natural Gas Systems'!AI200</f>
        <v>66.547175886171857</v>
      </c>
      <c r="AI16" s="119">
        <f>'Natural Gas Systems'!AJ200</f>
        <v>66.86162748971384</v>
      </c>
      <c r="AJ16" s="119">
        <f>'Natural Gas Systems'!AK200</f>
        <v>67.45668541569303</v>
      </c>
    </row>
    <row r="17" spans="1:36" x14ac:dyDescent="0.25">
      <c r="A17" s="121"/>
      <c r="B17" s="117"/>
      <c r="C17" s="117"/>
      <c r="D17" s="117"/>
      <c r="E17" s="117"/>
      <c r="F17" s="117"/>
      <c r="G17" s="117"/>
      <c r="H17" s="117"/>
      <c r="I17" s="117"/>
    </row>
    <row r="18" spans="1:36" x14ac:dyDescent="0.25">
      <c r="A18" s="111" t="s">
        <v>829</v>
      </c>
      <c r="B18" s="326"/>
      <c r="C18" s="114"/>
      <c r="D18" s="114"/>
      <c r="E18" s="114"/>
      <c r="F18" s="114"/>
      <c r="G18" s="114"/>
      <c r="H18" s="114"/>
      <c r="I18" s="114"/>
    </row>
    <row r="19" spans="1:36" x14ac:dyDescent="0.25">
      <c r="A19" s="113" t="s">
        <v>830</v>
      </c>
      <c r="B19" s="115">
        <f t="shared" ref="B19:AJ19" si="3">SUM(B21:B22)</f>
        <v>51.705999999999996</v>
      </c>
      <c r="C19" s="115">
        <f t="shared" si="3"/>
        <v>49.749415984830556</v>
      </c>
      <c r="D19" s="115">
        <f t="shared" si="3"/>
        <v>54.178824559502466</v>
      </c>
      <c r="E19" s="115">
        <f t="shared" si="3"/>
        <v>54.247967758791155</v>
      </c>
      <c r="F19" s="115">
        <f t="shared" si="3"/>
        <v>52.8651327739789</v>
      </c>
      <c r="G19" s="115">
        <f t="shared" si="3"/>
        <v>54.069411665731728</v>
      </c>
      <c r="H19" s="115">
        <f t="shared" si="3"/>
        <v>55.656241311143106</v>
      </c>
      <c r="I19" s="115">
        <f t="shared" si="3"/>
        <v>55.906567281727611</v>
      </c>
      <c r="J19" s="115">
        <f t="shared" si="3"/>
        <v>55.404041125438908</v>
      </c>
      <c r="K19" s="115">
        <f t="shared" si="3"/>
        <v>54.951007316405978</v>
      </c>
      <c r="L19" s="115">
        <f t="shared" si="3"/>
        <v>54.61077957887359</v>
      </c>
      <c r="M19" s="115">
        <f t="shared" si="3"/>
        <v>54.283494816369874</v>
      </c>
      <c r="N19" s="115">
        <f t="shared" si="3"/>
        <v>54.099301642576343</v>
      </c>
      <c r="O19" s="115">
        <f t="shared" si="3"/>
        <v>54.260763595136233</v>
      </c>
      <c r="P19" s="115">
        <f t="shared" si="3"/>
        <v>53.913352664404073</v>
      </c>
      <c r="Q19" s="115">
        <f t="shared" si="3"/>
        <v>53.807575851473288</v>
      </c>
      <c r="R19" s="115">
        <f t="shared" si="3"/>
        <v>53.775441192147987</v>
      </c>
      <c r="S19" s="115">
        <f t="shared" si="3"/>
        <v>53.515979977236398</v>
      </c>
      <c r="T19" s="115">
        <f t="shared" si="3"/>
        <v>53.26383390975387</v>
      </c>
      <c r="U19" s="115">
        <f t="shared" si="3"/>
        <v>52.948288712213937</v>
      </c>
      <c r="V19" s="115">
        <f t="shared" si="3"/>
        <v>52.817508667442084</v>
      </c>
      <c r="W19" s="115">
        <f t="shared" si="3"/>
        <v>52.542437688550002</v>
      </c>
      <c r="X19" s="115">
        <f t="shared" si="3"/>
        <v>52.886630677977962</v>
      </c>
      <c r="Y19" s="115">
        <f t="shared" si="3"/>
        <v>53.188345949313131</v>
      </c>
      <c r="Z19" s="115">
        <f t="shared" si="3"/>
        <v>53.232271583151217</v>
      </c>
      <c r="AA19" s="115">
        <f t="shared" si="3"/>
        <v>53.106114102200856</v>
      </c>
      <c r="AB19" s="115">
        <f t="shared" si="3"/>
        <v>53.126340620167532</v>
      </c>
      <c r="AC19" s="115">
        <f t="shared" si="3"/>
        <v>53.345576484723985</v>
      </c>
      <c r="AD19" s="115">
        <f t="shared" si="3"/>
        <v>53.795497381806491</v>
      </c>
      <c r="AE19" s="115">
        <f t="shared" si="3"/>
        <v>54.232681849150488</v>
      </c>
      <c r="AF19" s="115">
        <f t="shared" si="3"/>
        <v>54.626573473040217</v>
      </c>
      <c r="AG19" s="115">
        <f t="shared" si="3"/>
        <v>54.796137687457453</v>
      </c>
      <c r="AH19" s="115">
        <f t="shared" si="3"/>
        <v>54.757827767235128</v>
      </c>
      <c r="AI19" s="115">
        <f t="shared" si="3"/>
        <v>55.05431012186353</v>
      </c>
      <c r="AJ19" s="115">
        <f t="shared" si="3"/>
        <v>55.609224473840605</v>
      </c>
    </row>
    <row r="20" spans="1:36" x14ac:dyDescent="0.25">
      <c r="A20" s="113" t="s">
        <v>878</v>
      </c>
      <c r="B20" s="137">
        <f t="shared" ref="B20:AJ20" si="4">B23</f>
        <v>8.4000000000000012E-3</v>
      </c>
      <c r="C20" s="137">
        <f t="shared" si="4"/>
        <v>7.9001541890464429E-3</v>
      </c>
      <c r="D20" s="137">
        <f t="shared" si="4"/>
        <v>8.6654127131380217E-3</v>
      </c>
      <c r="E20" s="137">
        <f t="shared" si="4"/>
        <v>8.5750320620255616E-3</v>
      </c>
      <c r="F20" s="137">
        <f t="shared" si="4"/>
        <v>8.2420282352514661E-3</v>
      </c>
      <c r="G20" s="137">
        <f t="shared" si="4"/>
        <v>8.4488652586992962E-3</v>
      </c>
      <c r="H20" s="137">
        <f t="shared" si="4"/>
        <v>8.7285069114862151E-3</v>
      </c>
      <c r="I20" s="137">
        <f t="shared" si="4"/>
        <v>8.7223800386730943E-3</v>
      </c>
      <c r="J20" s="137">
        <f t="shared" si="4"/>
        <v>8.5601164733507002E-3</v>
      </c>
      <c r="K20" s="137">
        <f t="shared" si="4"/>
        <v>8.4366303724506195E-3</v>
      </c>
      <c r="L20" s="137">
        <f t="shared" si="4"/>
        <v>8.3473648676764267E-3</v>
      </c>
      <c r="M20" s="137">
        <f t="shared" si="4"/>
        <v>8.2451510195990143E-3</v>
      </c>
      <c r="N20" s="137">
        <f t="shared" si="4"/>
        <v>8.1662241035911545E-3</v>
      </c>
      <c r="O20" s="137">
        <f t="shared" si="4"/>
        <v>8.1643984202582395E-3</v>
      </c>
      <c r="P20" s="137">
        <f t="shared" si="4"/>
        <v>8.0573512619203421E-3</v>
      </c>
      <c r="Q20" s="137">
        <f t="shared" si="4"/>
        <v>7.996563189516805E-3</v>
      </c>
      <c r="R20" s="137">
        <f t="shared" si="4"/>
        <v>7.9650092481574376E-3</v>
      </c>
      <c r="S20" s="137">
        <f t="shared" si="4"/>
        <v>7.8803525509548739E-3</v>
      </c>
      <c r="T20" s="137">
        <f t="shared" si="4"/>
        <v>7.810389550720922E-3</v>
      </c>
      <c r="U20" s="137">
        <f t="shared" si="4"/>
        <v>7.7282411333228253E-3</v>
      </c>
      <c r="V20" s="137">
        <f t="shared" si="4"/>
        <v>7.6849551617061973E-3</v>
      </c>
      <c r="W20" s="137">
        <f t="shared" si="4"/>
        <v>7.5984552041314457E-3</v>
      </c>
      <c r="X20" s="137">
        <f t="shared" si="4"/>
        <v>7.624498915293332E-3</v>
      </c>
      <c r="Y20" s="137">
        <f t="shared" si="4"/>
        <v>7.6658211606550524E-3</v>
      </c>
      <c r="Z20" s="137">
        <f t="shared" si="4"/>
        <v>7.6615899688764616E-3</v>
      </c>
      <c r="AA20" s="137">
        <f t="shared" si="4"/>
        <v>7.6205107080593954E-3</v>
      </c>
      <c r="AB20" s="137">
        <f t="shared" si="4"/>
        <v>7.6187783635144673E-3</v>
      </c>
      <c r="AC20" s="137">
        <f t="shared" si="4"/>
        <v>7.6499994070582866E-3</v>
      </c>
      <c r="AD20" s="137">
        <f t="shared" si="4"/>
        <v>7.7286306352827277E-3</v>
      </c>
      <c r="AE20" s="137">
        <f t="shared" si="4"/>
        <v>7.8006648369926528E-3</v>
      </c>
      <c r="AF20" s="137">
        <f t="shared" si="4"/>
        <v>7.8686670875747732E-3</v>
      </c>
      <c r="AG20" s="137">
        <f t="shared" si="4"/>
        <v>7.8883217450348118E-3</v>
      </c>
      <c r="AH20" s="137">
        <f t="shared" si="4"/>
        <v>7.8643964417696426E-3</v>
      </c>
      <c r="AI20" s="137">
        <f t="shared" si="4"/>
        <v>7.9092219227250189E-3</v>
      </c>
      <c r="AJ20" s="137">
        <f t="shared" si="4"/>
        <v>8.0052473555941046E-3</v>
      </c>
    </row>
    <row r="21" spans="1:36" x14ac:dyDescent="0.25">
      <c r="A21" s="136" t="s">
        <v>1077</v>
      </c>
      <c r="B21" s="138">
        <f>'Non-Energy FF CO2 Emissions'!B31</f>
        <v>9.4</v>
      </c>
      <c r="C21" s="138">
        <f>'Non-Energy FF CO2 Emissions'!C31</f>
        <v>9.960853708425935</v>
      </c>
      <c r="D21" s="138">
        <f>'Non-Energy FF CO2 Emissions'!D31</f>
        <v>10.536092387833762</v>
      </c>
      <c r="E21" s="138">
        <f>'Non-Energy FF CO2 Emissions'!E31</f>
        <v>11.060431280689556</v>
      </c>
      <c r="F21" s="138">
        <f>'Non-Energy FF CO2 Emissions'!F31</f>
        <v>11.354746283437414</v>
      </c>
      <c r="G21" s="138">
        <f>'Non-Energy FF CO2 Emissions'!G31</f>
        <v>11.517305280668346</v>
      </c>
      <c r="H21" s="138">
        <f>'Non-Energy FF CO2 Emissions'!H31</f>
        <v>11.695739716222167</v>
      </c>
      <c r="I21" s="138">
        <f>'Non-Energy FF CO2 Emissions'!I31</f>
        <v>11.976923244096193</v>
      </c>
      <c r="J21" s="138">
        <f>'Non-Energy FF CO2 Emissions'!J31</f>
        <v>12.291625944299067</v>
      </c>
      <c r="K21" s="138">
        <f>'Non-Energy FF CO2 Emissions'!K31</f>
        <v>12.460521062013616</v>
      </c>
      <c r="L21" s="138">
        <f>'Non-Energy FF CO2 Emissions'!L31</f>
        <v>12.569872663168949</v>
      </c>
      <c r="M21" s="138">
        <f>'Non-Energy FF CO2 Emissions'!M31</f>
        <v>12.757380645517982</v>
      </c>
      <c r="N21" s="138">
        <f>'Non-Energy FF CO2 Emissions'!N31</f>
        <v>12.970697246561178</v>
      </c>
      <c r="O21" s="138">
        <f>'Non-Energy FF CO2 Emissions'!O31</f>
        <v>13.141354122821339</v>
      </c>
      <c r="P21" s="138">
        <f>'Non-Energy FF CO2 Emissions'!P31</f>
        <v>13.333078558832414</v>
      </c>
      <c r="Q21" s="138">
        <f>'Non-Energy FF CO2 Emissions'!Q31</f>
        <v>13.533456530556858</v>
      </c>
      <c r="R21" s="138">
        <f>'Non-Energy FF CO2 Emissions'!R31</f>
        <v>13.660241043035056</v>
      </c>
      <c r="S21" s="138">
        <f>'Non-Energy FF CO2 Emissions'!S31</f>
        <v>13.827147236677238</v>
      </c>
      <c r="T21" s="138">
        <f>'Non-Energy FF CO2 Emissions'!T31</f>
        <v>13.927364822515854</v>
      </c>
      <c r="U21" s="138">
        <f>'Non-Energy FF CO2 Emissions'!U31</f>
        <v>14.025554261457332</v>
      </c>
      <c r="V21" s="138">
        <f>'Non-Energy FF CO2 Emissions'!V31</f>
        <v>14.112780920877514</v>
      </c>
      <c r="W21" s="138">
        <f>'Non-Energy FF CO2 Emissions'!W31</f>
        <v>14.273360799742273</v>
      </c>
      <c r="X21" s="138">
        <f>'Non-Energy FF CO2 Emissions'!X31</f>
        <v>14.486386498168473</v>
      </c>
      <c r="Y21" s="138">
        <f>'Non-Energy FF CO2 Emissions'!Y31</f>
        <v>14.579985232328299</v>
      </c>
      <c r="Z21" s="138">
        <f>'Non-Energy FF CO2 Emissions'!Z31</f>
        <v>14.645220961331265</v>
      </c>
      <c r="AA21" s="138">
        <f>'Non-Energy FF CO2 Emissions'!AA31</f>
        <v>14.725956243253144</v>
      </c>
      <c r="AB21" s="138">
        <f>'Non-Energy FF CO2 Emissions'!AB31</f>
        <v>14.754907590781455</v>
      </c>
      <c r="AC21" s="138">
        <f>'Non-Energy FF CO2 Emissions'!AC31</f>
        <v>14.816900899603999</v>
      </c>
      <c r="AD21" s="138">
        <f>'Non-Energy FF CO2 Emissions'!AD31</f>
        <v>14.870801232250415</v>
      </c>
      <c r="AE21" s="138">
        <f>'Non-Energy FF CO2 Emissions'!AE31</f>
        <v>14.945190587982481</v>
      </c>
      <c r="AF21" s="138">
        <f>'Non-Energy FF CO2 Emissions'!AF31</f>
        <v>14.996593734118973</v>
      </c>
      <c r="AG21" s="138">
        <f>'Non-Energy FF CO2 Emissions'!AG31</f>
        <v>15.067168670142829</v>
      </c>
      <c r="AH21" s="138">
        <f>'Non-Energy FF CO2 Emissions'!AH31</f>
        <v>15.149356830865305</v>
      </c>
      <c r="AI21" s="138">
        <f>'Non-Energy FF CO2 Emissions'!AI31</f>
        <v>15.220078852482018</v>
      </c>
      <c r="AJ21" s="138">
        <f>'Non-Energy FF CO2 Emissions'!AJ31</f>
        <v>15.291367970773434</v>
      </c>
    </row>
    <row r="22" spans="1:36" x14ac:dyDescent="0.25">
      <c r="A22" s="134" t="s">
        <v>1421</v>
      </c>
      <c r="B22" s="138">
        <f>'Iron and Steel'!B8</f>
        <v>42.305999999999997</v>
      </c>
      <c r="C22" s="138">
        <f>'Iron and Steel'!C8</f>
        <v>39.788562276404619</v>
      </c>
      <c r="D22" s="138">
        <f>'Iron and Steel'!D8</f>
        <v>43.642732171668705</v>
      </c>
      <c r="E22" s="138">
        <f>'Iron and Steel'!E8</f>
        <v>43.187536478101599</v>
      </c>
      <c r="F22" s="138">
        <f>'Iron and Steel'!F8</f>
        <v>41.510386490541485</v>
      </c>
      <c r="G22" s="138">
        <f>'Iron and Steel'!G8</f>
        <v>42.552106385063382</v>
      </c>
      <c r="H22" s="138">
        <f>'Iron and Steel'!H8</f>
        <v>43.960501594920935</v>
      </c>
      <c r="I22" s="138">
        <f>'Iron and Steel'!I8</f>
        <v>43.929644037631419</v>
      </c>
      <c r="J22" s="138">
        <f>'Iron and Steel'!J8</f>
        <v>43.112415181139845</v>
      </c>
      <c r="K22" s="138">
        <f>'Iron and Steel'!K8</f>
        <v>42.490486254392366</v>
      </c>
      <c r="L22" s="138">
        <f>'Iron and Steel'!L8</f>
        <v>42.040906915704639</v>
      </c>
      <c r="M22" s="138">
        <f>'Iron and Steel'!M8</f>
        <v>41.526114170851891</v>
      </c>
      <c r="N22" s="138">
        <f>'Iron and Steel'!N8</f>
        <v>41.128604396015163</v>
      </c>
      <c r="O22" s="138">
        <f>'Iron and Steel'!O8</f>
        <v>41.119409472314892</v>
      </c>
      <c r="P22" s="138">
        <f>'Iron and Steel'!P8</f>
        <v>40.580274105571661</v>
      </c>
      <c r="Q22" s="138">
        <f>'Iron and Steel'!Q8</f>
        <v>40.274119320916427</v>
      </c>
      <c r="R22" s="138">
        <f>'Iron and Steel'!R8</f>
        <v>40.11520014911293</v>
      </c>
      <c r="S22" s="138">
        <f>'Iron and Steel'!S8</f>
        <v>39.688832740559157</v>
      </c>
      <c r="T22" s="138">
        <f>'Iron and Steel'!T8</f>
        <v>39.336469087238015</v>
      </c>
      <c r="U22" s="138">
        <f>'Iron and Steel'!U8</f>
        <v>38.922734450756607</v>
      </c>
      <c r="V22" s="138">
        <f>'Iron and Steel'!V8</f>
        <v>38.704727746564572</v>
      </c>
      <c r="W22" s="138">
        <f>'Iron and Steel'!W8</f>
        <v>38.269076888807732</v>
      </c>
      <c r="X22" s="138">
        <f>'Iron and Steel'!X8</f>
        <v>38.400244179809491</v>
      </c>
      <c r="Y22" s="138">
        <f>'Iron and Steel'!Y8</f>
        <v>38.608360716984834</v>
      </c>
      <c r="Z22" s="138">
        <f>'Iron and Steel'!Z8</f>
        <v>38.587050621819955</v>
      </c>
      <c r="AA22" s="138">
        <f>'Iron and Steel'!AA8</f>
        <v>38.380157858947712</v>
      </c>
      <c r="AB22" s="138">
        <f>'Iron and Steel'!AB8</f>
        <v>38.371433029386075</v>
      </c>
      <c r="AC22" s="138">
        <f>'Iron and Steel'!AC8</f>
        <v>38.528675585119984</v>
      </c>
      <c r="AD22" s="138">
        <f>'Iron and Steel'!AD8</f>
        <v>38.924696149556077</v>
      </c>
      <c r="AE22" s="138">
        <f>'Iron and Steel'!AE8</f>
        <v>39.287491261168007</v>
      </c>
      <c r="AF22" s="138">
        <f>'Iron and Steel'!AF8</f>
        <v>39.629979738921243</v>
      </c>
      <c r="AG22" s="138">
        <f>'Iron and Steel'!AG8</f>
        <v>39.728969017314625</v>
      </c>
      <c r="AH22" s="138">
        <f>'Iron and Steel'!AH8</f>
        <v>39.608470936369827</v>
      </c>
      <c r="AI22" s="138">
        <f>'Iron and Steel'!AI8</f>
        <v>39.834231269381512</v>
      </c>
      <c r="AJ22" s="138">
        <f>'Iron and Steel'!AJ8</f>
        <v>40.317856503067169</v>
      </c>
    </row>
    <row r="23" spans="1:36" x14ac:dyDescent="0.25">
      <c r="A23" s="134" t="s">
        <v>1733</v>
      </c>
      <c r="B23" s="138">
        <f>'Iron and Steel'!B9*CH4_to_CO2e/1000</f>
        <v>8.4000000000000012E-3</v>
      </c>
      <c r="C23" s="138">
        <f>'Iron and Steel'!C9*CH4_to_CO2e/1000</f>
        <v>7.9001541890464429E-3</v>
      </c>
      <c r="D23" s="138">
        <f>'Iron and Steel'!D9*CH4_to_CO2e/1000</f>
        <v>8.6654127131380217E-3</v>
      </c>
      <c r="E23" s="138">
        <f>'Iron and Steel'!E9*CH4_to_CO2e/1000</f>
        <v>8.5750320620255616E-3</v>
      </c>
      <c r="F23" s="138">
        <f>'Iron and Steel'!F9*CH4_to_CO2e/1000</f>
        <v>8.2420282352514661E-3</v>
      </c>
      <c r="G23" s="138">
        <f>'Iron and Steel'!G9*CH4_to_CO2e/1000</f>
        <v>8.4488652586992962E-3</v>
      </c>
      <c r="H23" s="138">
        <f>'Iron and Steel'!H9*CH4_to_CO2e/1000</f>
        <v>8.7285069114862151E-3</v>
      </c>
      <c r="I23" s="138">
        <f>'Iron and Steel'!I9*CH4_to_CO2e/1000</f>
        <v>8.7223800386730943E-3</v>
      </c>
      <c r="J23" s="138">
        <f>'Iron and Steel'!J9*CH4_to_CO2e/1000</f>
        <v>8.5601164733507002E-3</v>
      </c>
      <c r="K23" s="138">
        <f>'Iron and Steel'!K9*CH4_to_CO2e/1000</f>
        <v>8.4366303724506195E-3</v>
      </c>
      <c r="L23" s="138">
        <f>'Iron and Steel'!L9*CH4_to_CO2e/1000</f>
        <v>8.3473648676764267E-3</v>
      </c>
      <c r="M23" s="138">
        <f>'Iron and Steel'!M9*CH4_to_CO2e/1000</f>
        <v>8.2451510195990143E-3</v>
      </c>
      <c r="N23" s="138">
        <f>'Iron and Steel'!N9*CH4_to_CO2e/1000</f>
        <v>8.1662241035911545E-3</v>
      </c>
      <c r="O23" s="138">
        <f>'Iron and Steel'!O9*CH4_to_CO2e/1000</f>
        <v>8.1643984202582395E-3</v>
      </c>
      <c r="P23" s="138">
        <f>'Iron and Steel'!P9*CH4_to_CO2e/1000</f>
        <v>8.0573512619203421E-3</v>
      </c>
      <c r="Q23" s="138">
        <f>'Iron and Steel'!Q9*CH4_to_CO2e/1000</f>
        <v>7.996563189516805E-3</v>
      </c>
      <c r="R23" s="138">
        <f>'Iron and Steel'!R9*CH4_to_CO2e/1000</f>
        <v>7.9650092481574376E-3</v>
      </c>
      <c r="S23" s="138">
        <f>'Iron and Steel'!S9*CH4_to_CO2e/1000</f>
        <v>7.8803525509548739E-3</v>
      </c>
      <c r="T23" s="138">
        <f>'Iron and Steel'!T9*CH4_to_CO2e/1000</f>
        <v>7.810389550720922E-3</v>
      </c>
      <c r="U23" s="138">
        <f>'Iron and Steel'!U9*CH4_to_CO2e/1000</f>
        <v>7.7282411333228253E-3</v>
      </c>
      <c r="V23" s="138">
        <f>'Iron and Steel'!V9*CH4_to_CO2e/1000</f>
        <v>7.6849551617061973E-3</v>
      </c>
      <c r="W23" s="138">
        <f>'Iron and Steel'!W9*CH4_to_CO2e/1000</f>
        <v>7.5984552041314457E-3</v>
      </c>
      <c r="X23" s="138">
        <f>'Iron and Steel'!X9*CH4_to_CO2e/1000</f>
        <v>7.624498915293332E-3</v>
      </c>
      <c r="Y23" s="138">
        <f>'Iron and Steel'!Y9*CH4_to_CO2e/1000</f>
        <v>7.6658211606550524E-3</v>
      </c>
      <c r="Z23" s="138">
        <f>'Iron and Steel'!Z9*CH4_to_CO2e/1000</f>
        <v>7.6615899688764616E-3</v>
      </c>
      <c r="AA23" s="138">
        <f>'Iron and Steel'!AA9*CH4_to_CO2e/1000</f>
        <v>7.6205107080593954E-3</v>
      </c>
      <c r="AB23" s="138">
        <f>'Iron and Steel'!AB9*CH4_to_CO2e/1000</f>
        <v>7.6187783635144673E-3</v>
      </c>
      <c r="AC23" s="138">
        <f>'Iron and Steel'!AC9*CH4_to_CO2e/1000</f>
        <v>7.6499994070582866E-3</v>
      </c>
      <c r="AD23" s="138">
        <f>'Iron and Steel'!AD9*CH4_to_CO2e/1000</f>
        <v>7.7286306352827277E-3</v>
      </c>
      <c r="AE23" s="138">
        <f>'Iron and Steel'!AE9*CH4_to_CO2e/1000</f>
        <v>7.8006648369926528E-3</v>
      </c>
      <c r="AF23" s="138">
        <f>'Iron and Steel'!AF9*CH4_to_CO2e/1000</f>
        <v>7.8686670875747732E-3</v>
      </c>
      <c r="AG23" s="138">
        <f>'Iron and Steel'!AG9*CH4_to_CO2e/1000</f>
        <v>7.8883217450348118E-3</v>
      </c>
      <c r="AH23" s="138">
        <f>'Iron and Steel'!AH9*CH4_to_CO2e/1000</f>
        <v>7.8643964417696426E-3</v>
      </c>
      <c r="AI23" s="138">
        <f>'Iron and Steel'!AI9*CH4_to_CO2e/1000</f>
        <v>7.9092219227250189E-3</v>
      </c>
      <c r="AJ23" s="138">
        <f>'Iron and Steel'!AJ9*CH4_to_CO2e/1000</f>
        <v>8.0052473555941046E-3</v>
      </c>
    </row>
    <row r="24" spans="1:36" x14ac:dyDescent="0.25">
      <c r="B24" s="108"/>
      <c r="C24" s="108"/>
      <c r="D24" s="108"/>
      <c r="E24" s="108"/>
      <c r="F24" s="108"/>
      <c r="G24" s="108"/>
      <c r="H24" s="108"/>
      <c r="I24" s="108"/>
    </row>
    <row r="25" spans="1:36" x14ac:dyDescent="0.25">
      <c r="B25" s="108"/>
      <c r="C25" s="108"/>
      <c r="D25" s="108"/>
      <c r="E25" s="108"/>
      <c r="F25" s="108"/>
      <c r="G25" s="108"/>
      <c r="H25" s="108"/>
      <c r="I25" s="108"/>
    </row>
    <row r="26" spans="1:36" x14ac:dyDescent="0.25">
      <c r="A26" s="111" t="s">
        <v>229</v>
      </c>
      <c r="B26" s="116"/>
      <c r="C26" s="116"/>
      <c r="D26" s="116"/>
      <c r="E26" s="116"/>
      <c r="F26" s="116"/>
      <c r="G26" s="116"/>
      <c r="H26" s="116"/>
      <c r="I26" s="116"/>
    </row>
    <row r="27" spans="1:36" x14ac:dyDescent="0.25">
      <c r="A27" s="113" t="s">
        <v>831</v>
      </c>
      <c r="B27" s="117">
        <f>B34</f>
        <v>15.105</v>
      </c>
      <c r="C27" s="117">
        <f t="shared" ref="C27:AI27" si="5">C34</f>
        <v>13.226952523608052</v>
      </c>
      <c r="D27" s="117">
        <f t="shared" si="5"/>
        <v>13.062436370424253</v>
      </c>
      <c r="E27" s="117">
        <f t="shared" si="5"/>
        <v>12.901993132098434</v>
      </c>
      <c r="F27" s="117">
        <f t="shared" si="5"/>
        <v>12.745496586779726</v>
      </c>
      <c r="G27" s="117">
        <f t="shared" si="5"/>
        <v>12.592824584094751</v>
      </c>
      <c r="H27" s="117">
        <f t="shared" si="5"/>
        <v>12.443858913012516</v>
      </c>
      <c r="I27" s="117">
        <f t="shared" si="5"/>
        <v>12.298485174001481</v>
      </c>
      <c r="J27" s="117">
        <f t="shared" si="5"/>
        <v>12.156592655339354</v>
      </c>
      <c r="K27" s="117">
        <f t="shared" si="5"/>
        <v>12.018074213440709</v>
      </c>
      <c r="L27" s="117">
        <f t="shared" si="5"/>
        <v>11.8828261570719</v>
      </c>
      <c r="M27" s="117">
        <f t="shared" si="5"/>
        <v>11.750748135326962</v>
      </c>
      <c r="N27" s="117">
        <f t="shared" si="5"/>
        <v>11.621743029242342</v>
      </c>
      <c r="O27" s="117">
        <f t="shared" si="5"/>
        <v>11.495716846932229</v>
      </c>
      <c r="P27" s="117">
        <f t="shared" si="5"/>
        <v>11.372578622130089</v>
      </c>
      <c r="Q27" s="117">
        <f t="shared" si="5"/>
        <v>11.252240316025814</v>
      </c>
      <c r="R27" s="117">
        <f t="shared" si="5"/>
        <v>11.134616722291296</v>
      </c>
      <c r="S27" s="117">
        <f t="shared" si="5"/>
        <v>11.019625375191019</v>
      </c>
      <c r="T27" s="117">
        <f t="shared" si="5"/>
        <v>10.907186460677238</v>
      </c>
      <c r="U27" s="117">
        <f t="shared" si="5"/>
        <v>10.797222730372976</v>
      </c>
      <c r="V27" s="117">
        <f t="shared" si="5"/>
        <v>10.689659418348871</v>
      </c>
      <c r="W27" s="117">
        <f t="shared" si="5"/>
        <v>10.584424160603232</v>
      </c>
      <c r="X27" s="117">
        <f t="shared" si="5"/>
        <v>10.481446917157385</v>
      </c>
      <c r="Y27" s="117">
        <f t="shared" si="5"/>
        <v>10.380659896681381</v>
      </c>
      <c r="Z27" s="117">
        <f t="shared" si="5"/>
        <v>10.281997483567922</v>
      </c>
      <c r="AA27" s="117">
        <f t="shared" si="5"/>
        <v>10.185396167374842</v>
      </c>
      <c r="AB27" s="117">
        <f t="shared" si="5"/>
        <v>10.090794474559326</v>
      </c>
      <c r="AC27" s="117">
        <f t="shared" si="5"/>
        <v>9.9981329024293117</v>
      </c>
      <c r="AD27" s="117">
        <f t="shared" si="5"/>
        <v>9.9073538552401565</v>
      </c>
      <c r="AE27" s="117">
        <f t="shared" si="5"/>
        <v>9.8184015823667163</v>
      </c>
      <c r="AF27" s="117">
        <f t="shared" si="5"/>
        <v>9.731222118483597</v>
      </c>
      <c r="AG27" s="117">
        <f t="shared" si="5"/>
        <v>9.6457632256881833</v>
      </c>
      <c r="AH27" s="117">
        <f t="shared" si="5"/>
        <v>9.5619743375034485</v>
      </c>
      <c r="AI27" s="117">
        <f t="shared" si="5"/>
        <v>9.4798065046993774</v>
      </c>
      <c r="AJ27" s="117">
        <f>AJ34</f>
        <v>9.3992123428739927</v>
      </c>
    </row>
    <row r="28" spans="1:36" x14ac:dyDescent="0.25">
      <c r="A28" s="113" t="s">
        <v>832</v>
      </c>
      <c r="B28" s="117">
        <f t="shared" ref="B28:AJ28" si="6">SUM(B30:B31)</f>
        <v>236.6678847789</v>
      </c>
      <c r="C28" s="117">
        <f t="shared" si="6"/>
        <v>250.96025681784499</v>
      </c>
      <c r="D28" s="117">
        <f t="shared" si="6"/>
        <v>265.26724745873724</v>
      </c>
      <c r="E28" s="117">
        <f t="shared" si="6"/>
        <v>279.58958763167414</v>
      </c>
      <c r="F28" s="117">
        <f t="shared" si="6"/>
        <v>293.92804481325783</v>
      </c>
      <c r="G28" s="117">
        <f t="shared" si="6"/>
        <v>310.06298085392655</v>
      </c>
      <c r="H28" s="117">
        <f t="shared" si="6"/>
        <v>328.03612989662111</v>
      </c>
      <c r="I28" s="117">
        <f t="shared" si="6"/>
        <v>346.02793639145051</v>
      </c>
      <c r="J28" s="117">
        <f t="shared" si="6"/>
        <v>364.03933321102141</v>
      </c>
      <c r="K28" s="117">
        <f t="shared" si="6"/>
        <v>382.07129987157094</v>
      </c>
      <c r="L28" s="117">
        <f t="shared" si="6"/>
        <v>391.92486486515094</v>
      </c>
      <c r="M28" s="117">
        <f t="shared" si="6"/>
        <v>401.80110810840625</v>
      </c>
      <c r="N28" s="117">
        <f t="shared" si="6"/>
        <v>411.70116351382808</v>
      </c>
      <c r="O28" s="117">
        <f t="shared" si="6"/>
        <v>421.62622168952089</v>
      </c>
      <c r="P28" s="117">
        <f t="shared" si="6"/>
        <v>431.57753277399462</v>
      </c>
      <c r="Q28" s="117">
        <f t="shared" si="6"/>
        <v>440.7564094126929</v>
      </c>
      <c r="R28" s="117">
        <f t="shared" si="6"/>
        <v>449.96422988332984</v>
      </c>
      <c r="S28" s="117">
        <f t="shared" si="6"/>
        <v>459.20244137749484</v>
      </c>
      <c r="T28" s="117">
        <f t="shared" si="6"/>
        <v>468.47256344636816</v>
      </c>
      <c r="U28" s="117">
        <f t="shared" si="6"/>
        <v>477.77619161868881</v>
      </c>
      <c r="V28" s="117">
        <f t="shared" si="6"/>
        <v>485.91500119962473</v>
      </c>
      <c r="W28" s="117">
        <f t="shared" si="6"/>
        <v>494.09075125960555</v>
      </c>
      <c r="X28" s="117">
        <f t="shared" si="6"/>
        <v>502.3052888225854</v>
      </c>
      <c r="Y28" s="117">
        <f t="shared" si="6"/>
        <v>510.56055326371427</v>
      </c>
      <c r="Z28" s="117">
        <f t="shared" si="6"/>
        <v>518.85858092689955</v>
      </c>
      <c r="AA28" s="117">
        <f t="shared" si="6"/>
        <v>526.00150997324533</v>
      </c>
      <c r="AB28" s="117">
        <f t="shared" si="6"/>
        <v>533.19158547190648</v>
      </c>
      <c r="AC28" s="117">
        <f t="shared" si="6"/>
        <v>540.43116474550254</v>
      </c>
      <c r="AD28" s="117">
        <f t="shared" si="6"/>
        <v>547.72272298277835</v>
      </c>
      <c r="AE28" s="117">
        <f t="shared" si="6"/>
        <v>555.06885913191616</v>
      </c>
      <c r="AF28" s="117">
        <f t="shared" si="6"/>
        <v>561.27230208851188</v>
      </c>
      <c r="AG28" s="117">
        <f t="shared" si="6"/>
        <v>567.53591719293752</v>
      </c>
      <c r="AH28" s="117">
        <f t="shared" si="6"/>
        <v>573.86271305258435</v>
      </c>
      <c r="AI28" s="117">
        <f t="shared" si="6"/>
        <v>580.25584870521357</v>
      </c>
      <c r="AJ28" s="117">
        <f t="shared" si="6"/>
        <v>586.71864114047423</v>
      </c>
    </row>
    <row r="29" spans="1:36" x14ac:dyDescent="0.25">
      <c r="A29" s="113" t="s">
        <v>833</v>
      </c>
      <c r="B29" s="117">
        <f t="shared" ref="B29:AJ29" si="7">B32+B33</f>
        <v>103.10900000000004</v>
      </c>
      <c r="C29" s="117">
        <f t="shared" si="7"/>
        <v>109.74316916281686</v>
      </c>
      <c r="D29" s="117">
        <f t="shared" si="7"/>
        <v>115.45960771459644</v>
      </c>
      <c r="E29" s="117">
        <f t="shared" si="7"/>
        <v>120.6986233664099</v>
      </c>
      <c r="F29" s="117">
        <f t="shared" si="7"/>
        <v>123.7794969219856</v>
      </c>
      <c r="G29" s="117">
        <f t="shared" si="7"/>
        <v>125.62427232358583</v>
      </c>
      <c r="H29" s="117">
        <f t="shared" si="7"/>
        <v>127.61817075515721</v>
      </c>
      <c r="I29" s="117">
        <f t="shared" si="7"/>
        <v>130.57632436664841</v>
      </c>
      <c r="J29" s="117">
        <f t="shared" si="7"/>
        <v>133.84914880983652</v>
      </c>
      <c r="K29" s="117">
        <f t="shared" si="7"/>
        <v>135.7540234928631</v>
      </c>
      <c r="L29" s="117">
        <f t="shared" si="7"/>
        <v>137.10036085895234</v>
      </c>
      <c r="M29" s="117">
        <f t="shared" si="7"/>
        <v>139.1801946816822</v>
      </c>
      <c r="N29" s="117">
        <f t="shared" si="7"/>
        <v>141.50234559662221</v>
      </c>
      <c r="O29" s="117">
        <f t="shared" si="7"/>
        <v>143.42437518543781</v>
      </c>
      <c r="P29" s="117">
        <f t="shared" si="7"/>
        <v>145.54423380901437</v>
      </c>
      <c r="Q29" s="117">
        <f t="shared" si="7"/>
        <v>147.74543956405165</v>
      </c>
      <c r="R29" s="117">
        <f t="shared" si="7"/>
        <v>149.25626928085771</v>
      </c>
      <c r="S29" s="117">
        <f t="shared" si="7"/>
        <v>151.14370835032264</v>
      </c>
      <c r="T29" s="117">
        <f t="shared" si="7"/>
        <v>152.40555676518196</v>
      </c>
      <c r="U29" s="117">
        <f t="shared" si="7"/>
        <v>153.64852092944642</v>
      </c>
      <c r="V29" s="117">
        <f t="shared" si="7"/>
        <v>154.78876606375991</v>
      </c>
      <c r="W29" s="117">
        <f t="shared" si="7"/>
        <v>156.61742609415492</v>
      </c>
      <c r="X29" s="117">
        <f t="shared" si="7"/>
        <v>158.93832604715419</v>
      </c>
      <c r="Y29" s="117">
        <f t="shared" si="7"/>
        <v>160.1387859767124</v>
      </c>
      <c r="Z29" s="117">
        <f t="shared" si="7"/>
        <v>161.07325581418419</v>
      </c>
      <c r="AA29" s="117">
        <f t="shared" si="7"/>
        <v>162.15329576199153</v>
      </c>
      <c r="AB29" s="117">
        <f t="shared" si="7"/>
        <v>162.74758505603467</v>
      </c>
      <c r="AC29" s="117">
        <f t="shared" si="7"/>
        <v>163.65204204894968</v>
      </c>
      <c r="AD29" s="117">
        <f t="shared" si="7"/>
        <v>164.48069728814892</v>
      </c>
      <c r="AE29" s="117">
        <f t="shared" si="7"/>
        <v>165.50173386721519</v>
      </c>
      <c r="AF29" s="117">
        <f t="shared" si="7"/>
        <v>166.3072234175653</v>
      </c>
      <c r="AG29" s="117">
        <f t="shared" si="7"/>
        <v>167.29273237792373</v>
      </c>
      <c r="AH29" s="117">
        <f t="shared" si="7"/>
        <v>168.38733773026894</v>
      </c>
      <c r="AI29" s="117">
        <f t="shared" si="7"/>
        <v>169.37448514504266</v>
      </c>
      <c r="AJ29" s="117">
        <f t="shared" si="7"/>
        <v>170.36708107903539</v>
      </c>
    </row>
    <row r="30" spans="1:36" x14ac:dyDescent="0.25">
      <c r="A30" s="122" t="s">
        <v>834</v>
      </c>
      <c r="B30" s="119">
        <f>'Chem - HCFC 22 Production'!C26</f>
        <v>7.6678847789000004</v>
      </c>
      <c r="C30" s="119">
        <f>'Chem - HCFC 22 Production'!D26</f>
        <v>7.9602568178450008</v>
      </c>
      <c r="D30" s="119">
        <f>'Chem - HCFC 22 Production'!E26</f>
        <v>8.2672474587372484</v>
      </c>
      <c r="E30" s="119">
        <f>'Chem - HCFC 22 Production'!F26</f>
        <v>8.5895876316741138</v>
      </c>
      <c r="F30" s="119">
        <f>'Chem - HCFC 22 Production'!G26</f>
        <v>8.9280448132578183</v>
      </c>
      <c r="G30" s="119">
        <f>'Chem - HCFC 22 Production'!H26</f>
        <v>7.4629808539207101</v>
      </c>
      <c r="H30" s="119">
        <f>'Chem - HCFC 22 Production'!I26</f>
        <v>7.836129896616745</v>
      </c>
      <c r="I30" s="119">
        <f>'Chem - HCFC 22 Production'!J26</f>
        <v>8.2279363914475834</v>
      </c>
      <c r="J30" s="119">
        <f>'Chem - HCFC 22 Production'!K26</f>
        <v>8.6393332110199612</v>
      </c>
      <c r="K30" s="119">
        <f>'Chem - HCFC 22 Production'!L26</f>
        <v>9.0712998715709592</v>
      </c>
      <c r="L30" s="119">
        <f>'Chem - HCFC 22 Production'!M26</f>
        <v>9.5248648651495085</v>
      </c>
      <c r="M30" s="119">
        <f>'Chem - HCFC 22 Production'!N26</f>
        <v>10.001108108406987</v>
      </c>
      <c r="N30" s="119">
        <f>'Chem - HCFC 22 Production'!O26</f>
        <v>10.501163513827334</v>
      </c>
      <c r="O30" s="119">
        <f>'Chem - HCFC 22 Production'!P26</f>
        <v>11.026221689518701</v>
      </c>
      <c r="P30" s="119">
        <f>'Chem - HCFC 22 Production'!Q26</f>
        <v>11.577532773994635</v>
      </c>
      <c r="Q30" s="119">
        <f>'Chem - HCFC 22 Production'!R26</f>
        <v>12.156409412694369</v>
      </c>
      <c r="R30" s="119">
        <f>'Chem - HCFC 22 Production'!S26</f>
        <v>12.764229883329087</v>
      </c>
      <c r="S30" s="119">
        <f>'Chem - HCFC 22 Production'!T26</f>
        <v>13.40244137749554</v>
      </c>
      <c r="T30" s="119">
        <f>'Chem - HCFC 22 Production'!U26</f>
        <v>14.072563446370319</v>
      </c>
      <c r="U30" s="119">
        <f>'Chem - HCFC 22 Production'!V26</f>
        <v>14.776191618688836</v>
      </c>
      <c r="V30" s="119">
        <f>'Chem - HCFC 22 Production'!W26</f>
        <v>15.515001199623276</v>
      </c>
      <c r="W30" s="119">
        <f>'Chem - HCFC 22 Production'!X26</f>
        <v>16.290751259604438</v>
      </c>
      <c r="X30" s="119">
        <f>'Chem - HCFC 22 Production'!Y26</f>
        <v>17.105288822584662</v>
      </c>
      <c r="Y30" s="119">
        <f>'Chem - HCFC 22 Production'!Z26</f>
        <v>17.960553263713898</v>
      </c>
      <c r="Z30" s="119">
        <f>'Chem - HCFC 22 Production'!AA26</f>
        <v>18.858580926899588</v>
      </c>
      <c r="AA30" s="119">
        <f>'Chem - HCFC 22 Production'!AB26</f>
        <v>19.801509973244571</v>
      </c>
      <c r="AB30" s="119">
        <f>'Chem - HCFC 22 Production'!AC26</f>
        <v>20.791585471906792</v>
      </c>
      <c r="AC30" s="119">
        <f>'Chem - HCFC 22 Production'!AD26</f>
        <v>21.831164745502143</v>
      </c>
      <c r="AD30" s="119">
        <f>'Chem - HCFC 22 Production'!AE26</f>
        <v>22.922722982777248</v>
      </c>
      <c r="AE30" s="119">
        <f>'Chem - HCFC 22 Production'!AF26</f>
        <v>24.06885913191611</v>
      </c>
      <c r="AF30" s="119">
        <f>'Chem - HCFC 22 Production'!AG26</f>
        <v>25.272302088511918</v>
      </c>
      <c r="AG30" s="119">
        <f>'Chem - HCFC 22 Production'!AH26</f>
        <v>26.535917192937514</v>
      </c>
      <c r="AH30" s="119">
        <f>'Chem - HCFC 22 Production'!AI26</f>
        <v>27.862713052584386</v>
      </c>
      <c r="AI30" s="119">
        <f>'Chem - HCFC 22 Production'!AJ26</f>
        <v>29.255848705213612</v>
      </c>
      <c r="AJ30" s="119">
        <f>'Chem - HCFC 22 Production'!AK26</f>
        <v>30.718641140474283</v>
      </c>
    </row>
    <row r="31" spans="1:36" x14ac:dyDescent="0.25">
      <c r="A31" s="122" t="s">
        <v>835</v>
      </c>
      <c r="B31" s="119">
        <f>'Chem - ODS'!C11/10^6</f>
        <v>229</v>
      </c>
      <c r="C31" s="119">
        <f>'Chem - ODS'!D11/10^6</f>
        <v>243</v>
      </c>
      <c r="D31" s="119">
        <f>'Chem - ODS'!E11/10^6</f>
        <v>257</v>
      </c>
      <c r="E31" s="119">
        <f>'Chem - ODS'!F11/10^6</f>
        <v>271</v>
      </c>
      <c r="F31" s="119">
        <f>'Chem - ODS'!G11/10^6</f>
        <v>285</v>
      </c>
      <c r="G31" s="119">
        <f>'Chem - ODS'!H11/10^6</f>
        <v>302.60000000000582</v>
      </c>
      <c r="H31" s="119">
        <f>'Chem - ODS'!I11/10^6</f>
        <v>320.20000000000437</v>
      </c>
      <c r="I31" s="119">
        <f>'Chem - ODS'!J11/10^6</f>
        <v>337.80000000000291</v>
      </c>
      <c r="J31" s="119">
        <f>'Chem - ODS'!K11/10^6</f>
        <v>355.40000000000146</v>
      </c>
      <c r="K31" s="119">
        <f>'Chem - ODS'!L11/10^6</f>
        <v>373</v>
      </c>
      <c r="L31" s="119">
        <f>'Chem - ODS'!M11/10^6</f>
        <v>382.40000000000146</v>
      </c>
      <c r="M31" s="119">
        <f>'Chem - ODS'!N11/10^6</f>
        <v>391.79999999999927</v>
      </c>
      <c r="N31" s="119">
        <f>'Chem - ODS'!O11/10^6</f>
        <v>401.20000000000073</v>
      </c>
      <c r="O31" s="119">
        <f>'Chem - ODS'!P11/10^6</f>
        <v>410.60000000000218</v>
      </c>
      <c r="P31" s="119">
        <f>'Chem - ODS'!Q11/10^6</f>
        <v>420</v>
      </c>
      <c r="Q31" s="119">
        <f>'Chem - ODS'!R11/10^6</f>
        <v>428.59999999999854</v>
      </c>
      <c r="R31" s="119">
        <f>'Chem - ODS'!S11/10^6</f>
        <v>437.20000000000073</v>
      </c>
      <c r="S31" s="119">
        <f>'Chem - ODS'!T11/10^6</f>
        <v>445.79999999999927</v>
      </c>
      <c r="T31" s="119">
        <f>'Chem - ODS'!U11/10^6</f>
        <v>454.39999999999782</v>
      </c>
      <c r="U31" s="119">
        <f>'Chem - ODS'!V11/10^6</f>
        <v>463</v>
      </c>
      <c r="V31" s="119">
        <f>'Chem - ODS'!W11/10^6</f>
        <v>470.40000000000146</v>
      </c>
      <c r="W31" s="119">
        <f>'Chem - ODS'!X11/10^6</f>
        <v>477.80000000000109</v>
      </c>
      <c r="X31" s="119">
        <f>'Chem - ODS'!Y11/10^6</f>
        <v>485.20000000000073</v>
      </c>
      <c r="Y31" s="119">
        <f>'Chem - ODS'!Z11/10^6</f>
        <v>492.60000000000036</v>
      </c>
      <c r="Z31" s="119">
        <f>'Chem - ODS'!AA11/10^6</f>
        <v>500</v>
      </c>
      <c r="AA31" s="119">
        <f>'Chem - ODS'!AB11/10^6</f>
        <v>506.20000000000073</v>
      </c>
      <c r="AB31" s="119">
        <f>'Chem - ODS'!AC11/10^6</f>
        <v>512.39999999999964</v>
      </c>
      <c r="AC31" s="119">
        <f>'Chem - ODS'!AD11/10^6</f>
        <v>518.60000000000036</v>
      </c>
      <c r="AD31" s="119">
        <f>'Chem - ODS'!AE11/10^6</f>
        <v>524.80000000000109</v>
      </c>
      <c r="AE31" s="119">
        <f>'Chem - ODS'!AF11/10^6</f>
        <v>531</v>
      </c>
      <c r="AF31" s="119">
        <f>'Chem - ODS'!AG11/10^6</f>
        <v>536</v>
      </c>
      <c r="AG31" s="119">
        <f>'Chem - ODS'!AH11/10^6</f>
        <v>541</v>
      </c>
      <c r="AH31" s="119">
        <f>'Chem - ODS'!AI11/10^6</f>
        <v>546</v>
      </c>
      <c r="AI31" s="119">
        <f>'Chem - ODS'!AJ11/10^6</f>
        <v>551</v>
      </c>
      <c r="AJ31" s="119">
        <f>'Chem - ODS'!AK11/10^6</f>
        <v>556</v>
      </c>
    </row>
    <row r="32" spans="1:36" x14ac:dyDescent="0.25">
      <c r="A32" s="136" t="s">
        <v>1077</v>
      </c>
      <c r="B32" s="119">
        <f>'Non-Energy FF CO2 Emissions'!B32</f>
        <v>88.200000000000031</v>
      </c>
      <c r="C32" s="119">
        <f>'Non-Energy FF CO2 Emissions'!C32</f>
        <v>93.462478413102971</v>
      </c>
      <c r="D32" s="119">
        <f>'Non-Energy FF CO2 Emissions'!D32</f>
        <v>98.859930702865753</v>
      </c>
      <c r="E32" s="119">
        <f>'Non-Energy FF CO2 Emissions'!E32</f>
        <v>103.77979137838501</v>
      </c>
      <c r="F32" s="119">
        <f>'Non-Energy FF CO2 Emissions'!F32</f>
        <v>106.54134278714685</v>
      </c>
      <c r="G32" s="119">
        <f>'Non-Energy FF CO2 Emissions'!G32</f>
        <v>108.0666303994626</v>
      </c>
      <c r="H32" s="119">
        <f>'Non-Energy FF CO2 Emissions'!H32</f>
        <v>109.74087691178676</v>
      </c>
      <c r="I32" s="119">
        <f>'Non-Energy FF CO2 Emissions'!I32</f>
        <v>112.37921597120047</v>
      </c>
      <c r="J32" s="119">
        <f>'Non-Energy FF CO2 Emissions'!J32</f>
        <v>115.33206471140194</v>
      </c>
      <c r="K32" s="119">
        <f>'Non-Energy FF CO2 Emissions'!K32</f>
        <v>116.91680400740441</v>
      </c>
      <c r="L32" s="119">
        <f>'Non-Energy FF CO2 Emissions'!L32</f>
        <v>117.94284775441507</v>
      </c>
      <c r="M32" s="119">
        <f>'Non-Energy FF CO2 Emissions'!M32</f>
        <v>119.70223116326451</v>
      </c>
      <c r="N32" s="119">
        <f>'Non-Energy FF CO2 Emissions'!N32</f>
        <v>121.70377629220172</v>
      </c>
      <c r="O32" s="119">
        <f>'Non-Energy FF CO2 Emissions'!O32</f>
        <v>123.30504613115346</v>
      </c>
      <c r="P32" s="119">
        <f>'Non-Energy FF CO2 Emissions'!P32</f>
        <v>125.10399243500204</v>
      </c>
      <c r="Q32" s="119">
        <f>'Non-Energy FF CO2 Emissions'!Q32</f>
        <v>126.98413468033141</v>
      </c>
      <c r="R32" s="119">
        <f>'Non-Energy FF CO2 Emissions'!R32</f>
        <v>128.1737510633715</v>
      </c>
      <c r="S32" s="119">
        <f>'Non-Energy FF CO2 Emissions'!S32</f>
        <v>129.73982832712051</v>
      </c>
      <c r="T32" s="119">
        <f>'Non-Energy FF CO2 Emissions'!T32</f>
        <v>130.68016780275516</v>
      </c>
      <c r="U32" s="119">
        <f>'Non-Energy FF CO2 Emissions'!U32</f>
        <v>131.60147721920606</v>
      </c>
      <c r="V32" s="119">
        <f>'Non-Energy FF CO2 Emissions'!V32</f>
        <v>132.41992310865928</v>
      </c>
      <c r="W32" s="119">
        <f>'Non-Energy FF CO2 Emissions'!W32</f>
        <v>133.92664069545413</v>
      </c>
      <c r="X32" s="119">
        <f>'Non-Energy FF CO2 Emissions'!X32</f>
        <v>135.9254562913255</v>
      </c>
      <c r="Y32" s="119">
        <f>'Non-Energy FF CO2 Emissions'!Y32</f>
        <v>136.80369122248473</v>
      </c>
      <c r="Z32" s="119">
        <f>'Non-Energy FF CO2 Emissions'!Z32</f>
        <v>137.41579667972533</v>
      </c>
      <c r="AA32" s="119">
        <f>'Non-Energy FF CO2 Emissions'!AA32</f>
        <v>138.17333411222637</v>
      </c>
      <c r="AB32" s="119">
        <f>'Non-Energy FF CO2 Emissions'!AB32</f>
        <v>138.44498399009836</v>
      </c>
      <c r="AC32" s="119">
        <f>'Non-Energy FF CO2 Emissions'!AC32</f>
        <v>139.02666588777376</v>
      </c>
      <c r="AD32" s="119">
        <f>'Non-Energy FF CO2 Emissions'!AD32</f>
        <v>139.53241156217948</v>
      </c>
      <c r="AE32" s="119">
        <f>'Non-Energy FF CO2 Emissions'!AE32</f>
        <v>140.23040530426118</v>
      </c>
      <c r="AF32" s="119">
        <f>'Non-Energy FF CO2 Emissions'!AF32</f>
        <v>140.71271993077593</v>
      </c>
      <c r="AG32" s="119">
        <f>'Non-Energy FF CO2 Emissions'!AG32</f>
        <v>141.37492305389338</v>
      </c>
      <c r="AH32" s="119">
        <f>'Non-Energy FF CO2 Emissions'!AH32</f>
        <v>142.14609281726811</v>
      </c>
      <c r="AI32" s="119">
        <f>'Non-Energy FF CO2 Emissions'!AI32</f>
        <v>142.80967604137388</v>
      </c>
      <c r="AJ32" s="119">
        <f>'Non-Energy FF CO2 Emissions'!AJ32</f>
        <v>143.47858032151248</v>
      </c>
    </row>
    <row r="33" spans="1:36" x14ac:dyDescent="0.25">
      <c r="A33" s="122" t="s">
        <v>1584</v>
      </c>
      <c r="B33" s="119">
        <f>'Other Industrial Processes'!D527/1000</f>
        <v>14.909000000000001</v>
      </c>
      <c r="C33" s="119">
        <f>'Other Industrial Processes'!E527/1000</f>
        <v>16.280690749713891</v>
      </c>
      <c r="D33" s="119">
        <f>'Other Industrial Processes'!F527/1000</f>
        <v>16.599677011730698</v>
      </c>
      <c r="E33" s="119">
        <f>'Other Industrial Processes'!G527/1000</f>
        <v>16.918831988024895</v>
      </c>
      <c r="F33" s="119">
        <f>'Other Industrial Processes'!H527/1000</f>
        <v>17.238154134838748</v>
      </c>
      <c r="G33" s="119">
        <f>'Other Industrial Processes'!I527/1000</f>
        <v>17.557641924123228</v>
      </c>
      <c r="H33" s="119">
        <f>'Other Industrial Processes'!J527/1000</f>
        <v>17.877293843370456</v>
      </c>
      <c r="I33" s="119">
        <f>'Other Industrial Processes'!K527/1000</f>
        <v>18.19710839544793</v>
      </c>
      <c r="J33" s="119">
        <f>'Other Industrial Processes'!L527/1000</f>
        <v>18.517084098434591</v>
      </c>
      <c r="K33" s="119">
        <f>'Other Industrial Processes'!M527/1000</f>
        <v>18.837219485458679</v>
      </c>
      <c r="L33" s="119">
        <f>'Other Industrial Processes'!N527/1000</f>
        <v>19.157513104537269</v>
      </c>
      <c r="M33" s="119">
        <f>'Other Industrial Processes'!O527/1000</f>
        <v>19.477963518417681</v>
      </c>
      <c r="N33" s="119">
        <f>'Other Industrial Processes'!P527/1000</f>
        <v>19.798569304420493</v>
      </c>
      <c r="O33" s="119">
        <f>'Other Industrial Processes'!Q527/1000</f>
        <v>20.119329054284339</v>
      </c>
      <c r="P33" s="119">
        <f>'Other Industrial Processes'!R527/1000</f>
        <v>20.440241374012345</v>
      </c>
      <c r="Q33" s="119">
        <f>'Other Industrial Processes'!S527/1000</f>
        <v>20.76130488372025</v>
      </c>
      <c r="R33" s="119">
        <f>'Other Industrial Processes'!T527/1000</f>
        <v>21.0825182174862</v>
      </c>
      <c r="S33" s="119">
        <f>'Other Industrial Processes'!U527/1000</f>
        <v>21.403880023202127</v>
      </c>
      <c r="T33" s="119">
        <f>'Other Industrial Processes'!V527/1000</f>
        <v>21.725388962426791</v>
      </c>
      <c r="U33" s="119">
        <f>'Other Industrial Processes'!W527/1000</f>
        <v>22.047043710240359</v>
      </c>
      <c r="V33" s="119">
        <f>'Other Industrial Processes'!X527/1000</f>
        <v>22.368842955100639</v>
      </c>
      <c r="W33" s="119">
        <f>'Other Industrial Processes'!Y527/1000</f>
        <v>22.690785398700804</v>
      </c>
      <c r="X33" s="119">
        <f>'Other Industrial Processes'!Z527/1000</f>
        <v>23.012869755828699</v>
      </c>
      <c r="Y33" s="119">
        <f>'Other Industrial Processes'!AA527/1000</f>
        <v>23.335094754227658</v>
      </c>
      <c r="Z33" s="119">
        <f>'Other Industrial Processes'!AB527/1000</f>
        <v>23.657459134458865</v>
      </c>
      <c r="AA33" s="119">
        <f>'Other Industrial Processes'!AC527/1000</f>
        <v>23.979961649765148</v>
      </c>
      <c r="AB33" s="119">
        <f>'Other Industrial Processes'!AD527/1000</f>
        <v>24.302601065936315</v>
      </c>
      <c r="AC33" s="119">
        <f>'Other Industrial Processes'!AE527/1000</f>
        <v>24.625376161175915</v>
      </c>
      <c r="AD33" s="119">
        <f>'Other Industrial Processes'!AF527/1000</f>
        <v>24.948285725969445</v>
      </c>
      <c r="AE33" s="119">
        <f>'Other Industrial Processes'!AG527/1000</f>
        <v>25.271328562954007</v>
      </c>
      <c r="AF33" s="119">
        <f>'Other Industrial Processes'!AH527/1000</f>
        <v>25.59450348678935</v>
      </c>
      <c r="AG33" s="119">
        <f>'Other Industrial Processes'!AI527/1000</f>
        <v>25.917809324030344</v>
      </c>
      <c r="AH33" s="119">
        <f>'Other Industrial Processes'!AJ527/1000</f>
        <v>26.24124491300082</v>
      </c>
      <c r="AI33" s="119">
        <f>'Other Industrial Processes'!AK527/1000</f>
        <v>26.564809103668768</v>
      </c>
      <c r="AJ33" s="119">
        <f>'Other Industrial Processes'!AL527/1000</f>
        <v>26.888500757522909</v>
      </c>
    </row>
    <row r="34" spans="1:36" x14ac:dyDescent="0.25">
      <c r="A34" s="122" t="s">
        <v>1585</v>
      </c>
      <c r="B34" s="119">
        <f>'Other Industrial Processes'!D528/1000*N2O_to_CO2e</f>
        <v>15.105</v>
      </c>
      <c r="C34" s="119">
        <f>'Other Industrial Processes'!E528/1000*N2O_to_CO2e</f>
        <v>13.226952523608052</v>
      </c>
      <c r="D34" s="119">
        <f>'Other Industrial Processes'!F528/1000*N2O_to_CO2e</f>
        <v>13.062436370424253</v>
      </c>
      <c r="E34" s="119">
        <f>'Other Industrial Processes'!G528/1000*N2O_to_CO2e</f>
        <v>12.901993132098434</v>
      </c>
      <c r="F34" s="119">
        <f>'Other Industrial Processes'!H528/1000*N2O_to_CO2e</f>
        <v>12.745496586779726</v>
      </c>
      <c r="G34" s="119">
        <f>'Other Industrial Processes'!I528/1000*N2O_to_CO2e</f>
        <v>12.592824584094751</v>
      </c>
      <c r="H34" s="119">
        <f>'Other Industrial Processes'!J528/1000*N2O_to_CO2e</f>
        <v>12.443858913012516</v>
      </c>
      <c r="I34" s="119">
        <f>'Other Industrial Processes'!K528/1000*N2O_to_CO2e</f>
        <v>12.298485174001481</v>
      </c>
      <c r="J34" s="119">
        <f>'Other Industrial Processes'!L528/1000*N2O_to_CO2e</f>
        <v>12.156592655339354</v>
      </c>
      <c r="K34" s="119">
        <f>'Other Industrial Processes'!M528/1000*N2O_to_CO2e</f>
        <v>12.018074213440709</v>
      </c>
      <c r="L34" s="119">
        <f>'Other Industrial Processes'!N528/1000*N2O_to_CO2e</f>
        <v>11.8828261570719</v>
      </c>
      <c r="M34" s="119">
        <f>'Other Industrial Processes'!O528/1000*N2O_to_CO2e</f>
        <v>11.750748135326962</v>
      </c>
      <c r="N34" s="119">
        <f>'Other Industrial Processes'!P528/1000*N2O_to_CO2e</f>
        <v>11.621743029242342</v>
      </c>
      <c r="O34" s="119">
        <f>'Other Industrial Processes'!Q528/1000*N2O_to_CO2e</f>
        <v>11.495716846932229</v>
      </c>
      <c r="P34" s="119">
        <f>'Other Industrial Processes'!R528/1000*N2O_to_CO2e</f>
        <v>11.372578622130089</v>
      </c>
      <c r="Q34" s="119">
        <f>'Other Industrial Processes'!S528/1000*N2O_to_CO2e</f>
        <v>11.252240316025814</v>
      </c>
      <c r="R34" s="119">
        <f>'Other Industrial Processes'!T528/1000*N2O_to_CO2e</f>
        <v>11.134616722291296</v>
      </c>
      <c r="S34" s="119">
        <f>'Other Industrial Processes'!U528/1000*N2O_to_CO2e</f>
        <v>11.019625375191019</v>
      </c>
      <c r="T34" s="119">
        <f>'Other Industrial Processes'!V528/1000*N2O_to_CO2e</f>
        <v>10.907186460677238</v>
      </c>
      <c r="U34" s="119">
        <f>'Other Industrial Processes'!W528/1000*N2O_to_CO2e</f>
        <v>10.797222730372976</v>
      </c>
      <c r="V34" s="119">
        <f>'Other Industrial Processes'!X528/1000*N2O_to_CO2e</f>
        <v>10.689659418348871</v>
      </c>
      <c r="W34" s="119">
        <f>'Other Industrial Processes'!Y528/1000*N2O_to_CO2e</f>
        <v>10.584424160603232</v>
      </c>
      <c r="X34" s="119">
        <f>'Other Industrial Processes'!Z528/1000*N2O_to_CO2e</f>
        <v>10.481446917157385</v>
      </c>
      <c r="Y34" s="119">
        <f>'Other Industrial Processes'!AA528/1000*N2O_to_CO2e</f>
        <v>10.380659896681381</v>
      </c>
      <c r="Z34" s="119">
        <f>'Other Industrial Processes'!AB528/1000*N2O_to_CO2e</f>
        <v>10.281997483567922</v>
      </c>
      <c r="AA34" s="119">
        <f>'Other Industrial Processes'!AC528/1000*N2O_to_CO2e</f>
        <v>10.185396167374842</v>
      </c>
      <c r="AB34" s="119">
        <f>'Other Industrial Processes'!AD528/1000*N2O_to_CO2e</f>
        <v>10.090794474559326</v>
      </c>
      <c r="AC34" s="119">
        <f>'Other Industrial Processes'!AE528/1000*N2O_to_CO2e</f>
        <v>9.9981329024293117</v>
      </c>
      <c r="AD34" s="119">
        <f>'Other Industrial Processes'!AF528/1000*N2O_to_CO2e</f>
        <v>9.9073538552401565</v>
      </c>
      <c r="AE34" s="119">
        <f>'Other Industrial Processes'!AG528/1000*N2O_to_CO2e</f>
        <v>9.8184015823667163</v>
      </c>
      <c r="AF34" s="119">
        <f>'Other Industrial Processes'!AH528/1000*N2O_to_CO2e</f>
        <v>9.731222118483597</v>
      </c>
      <c r="AG34" s="119">
        <f>'Other Industrial Processes'!AI528/1000*N2O_to_CO2e</f>
        <v>9.6457632256881833</v>
      </c>
      <c r="AH34" s="119">
        <f>'Other Industrial Processes'!AJ528/1000*N2O_to_CO2e</f>
        <v>9.5619743375034485</v>
      </c>
      <c r="AI34" s="119">
        <f>'Other Industrial Processes'!AK528/1000*N2O_to_CO2e</f>
        <v>9.4798065046993774</v>
      </c>
      <c r="AJ34" s="119">
        <f>'Other Industrial Processes'!AL528/1000*N2O_to_CO2e</f>
        <v>9.3992123428739927</v>
      </c>
    </row>
    <row r="35" spans="1:36" x14ac:dyDescent="0.25">
      <c r="A35" s="122"/>
      <c r="B35" s="123"/>
      <c r="C35" s="123"/>
      <c r="D35" s="123"/>
      <c r="E35" s="123"/>
      <c r="F35" s="123"/>
      <c r="G35" s="123"/>
      <c r="H35" s="123"/>
      <c r="I35" s="123"/>
    </row>
    <row r="36" spans="1:36" x14ac:dyDescent="0.25">
      <c r="A36" s="122"/>
      <c r="B36" s="123"/>
      <c r="C36" s="123"/>
      <c r="D36" s="123"/>
      <c r="E36" s="123"/>
      <c r="F36" s="123"/>
      <c r="G36" s="123"/>
      <c r="H36" s="123"/>
      <c r="I36" s="123"/>
    </row>
    <row r="37" spans="1:36" x14ac:dyDescent="0.25">
      <c r="A37" s="111" t="s">
        <v>836</v>
      </c>
      <c r="B37" s="124"/>
      <c r="C37" s="124"/>
      <c r="D37" s="124"/>
      <c r="E37" s="124"/>
      <c r="F37" s="124"/>
      <c r="G37" s="124"/>
      <c r="H37" s="124"/>
      <c r="I37" s="124"/>
    </row>
    <row r="38" spans="1:36" x14ac:dyDescent="0.25">
      <c r="A38" s="113" t="s">
        <v>837</v>
      </c>
      <c r="B38" s="125">
        <f t="shared" ref="B38:AJ38" si="8">SUM(B39:B42)</f>
        <v>70.003577617028981</v>
      </c>
      <c r="C38" s="125">
        <f t="shared" si="8"/>
        <v>75.247834879021013</v>
      </c>
      <c r="D38" s="125">
        <f t="shared" si="8"/>
        <v>70.125165316626976</v>
      </c>
      <c r="E38" s="125">
        <f t="shared" si="8"/>
        <v>69.793732667669829</v>
      </c>
      <c r="F38" s="125">
        <f t="shared" si="8"/>
        <v>71.614337581419122</v>
      </c>
      <c r="G38" s="125">
        <f t="shared" si="8"/>
        <v>70.185278325137986</v>
      </c>
      <c r="H38" s="125">
        <f t="shared" si="8"/>
        <v>70.387400701368549</v>
      </c>
      <c r="I38" s="125">
        <f t="shared" si="8"/>
        <v>71.605175020086023</v>
      </c>
      <c r="J38" s="125">
        <f t="shared" si="8"/>
        <v>73.005080647294577</v>
      </c>
      <c r="K38" s="125">
        <f t="shared" si="8"/>
        <v>71.689931775345897</v>
      </c>
      <c r="L38" s="125">
        <f t="shared" si="8"/>
        <v>71.852136433725235</v>
      </c>
      <c r="M38" s="125">
        <f t="shared" si="8"/>
        <v>71.414780567715468</v>
      </c>
      <c r="N38" s="125">
        <f t="shared" si="8"/>
        <v>71.749090157019978</v>
      </c>
      <c r="O38" s="125">
        <f t="shared" si="8"/>
        <v>72.020785490411143</v>
      </c>
      <c r="P38" s="125">
        <f t="shared" si="8"/>
        <v>72.638211449505533</v>
      </c>
      <c r="Q38" s="125">
        <f t="shared" si="8"/>
        <v>72.289422790940378</v>
      </c>
      <c r="R38" s="125">
        <f t="shared" si="8"/>
        <v>72.11549745867103</v>
      </c>
      <c r="S38" s="125">
        <f t="shared" si="8"/>
        <v>72.828196246994736</v>
      </c>
      <c r="T38" s="125">
        <f t="shared" si="8"/>
        <v>71.887720929997116</v>
      </c>
      <c r="U38" s="125">
        <f t="shared" si="8"/>
        <v>72.419250784160795</v>
      </c>
      <c r="V38" s="125">
        <f t="shared" si="8"/>
        <v>72.578235758218767</v>
      </c>
      <c r="W38" s="125">
        <f t="shared" si="8"/>
        <v>73.361376159559185</v>
      </c>
      <c r="X38" s="125">
        <f t="shared" si="8"/>
        <v>73.984476144843441</v>
      </c>
      <c r="Y38" s="125">
        <f t="shared" si="8"/>
        <v>75.192103825632799</v>
      </c>
      <c r="Z38" s="125">
        <f t="shared" si="8"/>
        <v>75.977238464823145</v>
      </c>
      <c r="AA38" s="125">
        <f t="shared" si="8"/>
        <v>75.906722601556751</v>
      </c>
      <c r="AB38" s="125">
        <f t="shared" si="8"/>
        <v>75.715540490840539</v>
      </c>
      <c r="AC38" s="125">
        <f t="shared" si="8"/>
        <v>75.723227381155141</v>
      </c>
      <c r="AD38" s="125">
        <f t="shared" si="8"/>
        <v>75.045058414330043</v>
      </c>
      <c r="AE38" s="125">
        <f t="shared" si="8"/>
        <v>75.067552314827765</v>
      </c>
      <c r="AF38" s="125">
        <f t="shared" si="8"/>
        <v>75.403263026512519</v>
      </c>
      <c r="AG38" s="125">
        <f t="shared" si="8"/>
        <v>75.838290927323158</v>
      </c>
      <c r="AH38" s="125">
        <f t="shared" si="8"/>
        <v>76.239591615305244</v>
      </c>
      <c r="AI38" s="125">
        <f t="shared" si="8"/>
        <v>76.469663963356069</v>
      </c>
      <c r="AJ38" s="125">
        <f t="shared" si="8"/>
        <v>76.207681183008518</v>
      </c>
    </row>
    <row r="39" spans="1:36" x14ac:dyDescent="0.25">
      <c r="A39" t="s">
        <v>1093</v>
      </c>
      <c r="B39" s="126">
        <f>'Coal Mining'!B43*CH4_to_CO2e/1000</f>
        <v>68.631826919846787</v>
      </c>
      <c r="C39" s="126">
        <f>'Coal Mining'!C43*CH4_to_CO2e/1000</f>
        <v>75.647953846092207</v>
      </c>
      <c r="D39" s="126">
        <f>'Coal Mining'!D43*CH4_to_CO2e/1000</f>
        <v>68.389971115315362</v>
      </c>
      <c r="E39" s="126">
        <f>'Coal Mining'!E43*CH4_to_CO2e/1000</f>
        <v>68.891123038618588</v>
      </c>
      <c r="F39" s="126">
        <f>'Coal Mining'!F43*CH4_to_CO2e/1000</f>
        <v>71.877946947332759</v>
      </c>
      <c r="G39" s="126">
        <f>'Coal Mining'!G43*CH4_to_CO2e/1000</f>
        <v>70.200147558275887</v>
      </c>
      <c r="H39" s="126">
        <f>'Coal Mining'!H43*CH4_to_CO2e/1000</f>
        <v>71.03367094142169</v>
      </c>
      <c r="I39" s="126">
        <f>'Coal Mining'!I43*CH4_to_CO2e/1000</f>
        <v>72.653904401228303</v>
      </c>
      <c r="J39" s="126">
        <f>'Coal Mining'!J43*CH4_to_CO2e/1000</f>
        <v>73.867517677893559</v>
      </c>
      <c r="K39" s="126">
        <f>'Coal Mining'!K43*CH4_to_CO2e/1000</f>
        <v>71.585122952839924</v>
      </c>
      <c r="L39" s="126">
        <f>'Coal Mining'!L43*CH4_to_CO2e/1000</f>
        <v>71.463669617699793</v>
      </c>
      <c r="M39" s="126">
        <f>'Coal Mining'!M43*CH4_to_CO2e/1000</f>
        <v>70.768005033411711</v>
      </c>
      <c r="N39" s="126">
        <f>'Coal Mining'!N43*CH4_to_CO2e/1000</f>
        <v>71.330103700182889</v>
      </c>
      <c r="O39" s="126">
        <f>'Coal Mining'!O43*CH4_to_CO2e/1000</f>
        <v>71.608876202266032</v>
      </c>
      <c r="P39" s="126">
        <f>'Coal Mining'!P43*CH4_to_CO2e/1000</f>
        <v>72.475821760640983</v>
      </c>
      <c r="Q39" s="126">
        <f>'Coal Mining'!Q43*CH4_to_CO2e/1000</f>
        <v>72.073217395429879</v>
      </c>
      <c r="R39" s="126">
        <f>'Coal Mining'!R43*CH4_to_CO2e/1000</f>
        <v>71.773632306342549</v>
      </c>
      <c r="S39" s="126">
        <f>'Coal Mining'!S43*CH4_to_CO2e/1000</f>
        <v>72.863030689056941</v>
      </c>
      <c r="T39" s="126">
        <f>'Coal Mining'!T43*CH4_to_CO2e/1000</f>
        <v>71.638127478792711</v>
      </c>
      <c r="U39" s="126">
        <f>'Coal Mining'!U43*CH4_to_CO2e/1000</f>
        <v>72.46366006490436</v>
      </c>
      <c r="V39" s="126">
        <f>'Coal Mining'!V43*CH4_to_CO2e/1000</f>
        <v>72.511964388933961</v>
      </c>
      <c r="W39" s="126">
        <f>'Coal Mining'!W43*CH4_to_CO2e/1000</f>
        <v>73.650424882790233</v>
      </c>
      <c r="X39" s="126">
        <f>'Coal Mining'!X43*CH4_to_CO2e/1000</f>
        <v>74.393627996382619</v>
      </c>
      <c r="Y39" s="126">
        <f>'Coal Mining'!Y43*CH4_to_CO2e/1000</f>
        <v>76.17702110914972</v>
      </c>
      <c r="Z39" s="126">
        <f>'Coal Mining'!Z43*CH4_to_CO2e/1000</f>
        <v>77.35486624689095</v>
      </c>
      <c r="AA39" s="126">
        <f>'Coal Mining'!AA43*CH4_to_CO2e/1000</f>
        <v>77.214017939171868</v>
      </c>
      <c r="AB39" s="126">
        <f>'Coal Mining'!AB43*CH4_to_CO2e/1000</f>
        <v>76.987451604023249</v>
      </c>
      <c r="AC39" s="126">
        <f>'Coal Mining'!AC43*CH4_to_CO2e/1000</f>
        <v>76.949329493791339</v>
      </c>
      <c r="AD39" s="126">
        <f>'Coal Mining'!AD43*CH4_to_CO2e/1000</f>
        <v>75.850701803228816</v>
      </c>
      <c r="AE39" s="126">
        <f>'Coal Mining'!AE43*CH4_to_CO2e/1000</f>
        <v>75.873632136956729</v>
      </c>
      <c r="AF39" s="126">
        <f>'Coal Mining'!AF43*CH4_to_CO2e/1000</f>
        <v>76.463214533140317</v>
      </c>
      <c r="AG39" s="126">
        <f>'Coal Mining'!AG43*CH4_to_CO2e/1000</f>
        <v>77.074814929008255</v>
      </c>
      <c r="AH39" s="126">
        <f>'Coal Mining'!AH43*CH4_to_CO2e/1000</f>
        <v>77.640831453910437</v>
      </c>
      <c r="AI39" s="126">
        <f>'Coal Mining'!AI43*CH4_to_CO2e/1000</f>
        <v>77.754953819329387</v>
      </c>
      <c r="AJ39" s="126">
        <f>'Coal Mining'!AJ43*CH4_to_CO2e/1000</f>
        <v>77.37324318493441</v>
      </c>
    </row>
    <row r="40" spans="1:36" x14ac:dyDescent="0.25">
      <c r="A40" s="67" t="s">
        <v>1094</v>
      </c>
      <c r="B40" s="126">
        <f>'Coal Mining'!B44*CH4_to_CO2e/1000</f>
        <v>11.213733658443296</v>
      </c>
      <c r="C40" s="126">
        <f>'Coal Mining'!C44*CH4_to_CO2e/1000</f>
        <v>11.195517360428138</v>
      </c>
      <c r="D40" s="126">
        <f>'Coal Mining'!D44*CH4_to_CO2e/1000</f>
        <v>11.476850614544452</v>
      </c>
      <c r="E40" s="126">
        <f>'Coal Mining'!E44*CH4_to_CO2e/1000</f>
        <v>10.75132699701537</v>
      </c>
      <c r="F40" s="126">
        <f>'Coal Mining'!F44*CH4_to_CO2e/1000</f>
        <v>10.320396789862452</v>
      </c>
      <c r="G40" s="126">
        <f>'Coal Mining'!G44*CH4_to_CO2e/1000</f>
        <v>10.125490515582985</v>
      </c>
      <c r="H40" s="126">
        <f>'Coal Mining'!H44*CH4_to_CO2e/1000</f>
        <v>9.6851539052128803</v>
      </c>
      <c r="I40" s="126">
        <f>'Coal Mining'!I44*CH4_to_CO2e/1000</f>
        <v>9.6725919791679207</v>
      </c>
      <c r="J40" s="126">
        <f>'Coal Mining'!J44*CH4_to_CO2e/1000</f>
        <v>10.146012507633397</v>
      </c>
      <c r="K40" s="126">
        <f>'Coal Mining'!K44*CH4_to_CO2e/1000</f>
        <v>10.516806748469769</v>
      </c>
      <c r="L40" s="126">
        <f>'Coal Mining'!L44*CH4_to_CO2e/1000</f>
        <v>10.75016867026161</v>
      </c>
      <c r="M40" s="126">
        <f>'Coal Mining'!M44*CH4_to_CO2e/1000</f>
        <v>10.81305537465261</v>
      </c>
      <c r="N40" s="126">
        <f>'Coal Mining'!N44*CH4_to_CO2e/1000</f>
        <v>10.707730909683404</v>
      </c>
      <c r="O40" s="126">
        <f>'Coal Mining'!O44*CH4_to_CO2e/1000</f>
        <v>10.751510601725281</v>
      </c>
      <c r="P40" s="126">
        <f>'Coal Mining'!P44*CH4_to_CO2e/1000</f>
        <v>10.701502507395274</v>
      </c>
      <c r="Q40" s="126">
        <f>'Coal Mining'!Q44*CH4_to_CO2e/1000</f>
        <v>10.633964133281616</v>
      </c>
      <c r="R40" s="126">
        <f>'Coal Mining'!R44*CH4_to_CO2e/1000</f>
        <v>10.664306863699792</v>
      </c>
      <c r="S40" s="126">
        <f>'Coal Mining'!S44*CH4_to_CO2e/1000</f>
        <v>10.543341420134768</v>
      </c>
      <c r="T40" s="126">
        <f>'Coal Mining'!T44*CH4_to_CO2e/1000</f>
        <v>10.498587721769677</v>
      </c>
      <c r="U40" s="126">
        <f>'Coal Mining'!U44*CH4_to_CO2e/1000</f>
        <v>10.393629795232197</v>
      </c>
      <c r="V40" s="126">
        <f>'Coal Mining'!V44*CH4_to_CO2e/1000</f>
        <v>10.49691886253834</v>
      </c>
      <c r="W40" s="126">
        <f>'Coal Mining'!W44*CH4_to_CO2e/1000</f>
        <v>10.409732860964908</v>
      </c>
      <c r="X40" s="126">
        <f>'Coal Mining'!X44*CH4_to_CO2e/1000</f>
        <v>10.457866617141667</v>
      </c>
      <c r="Y40" s="126">
        <f>'Coal Mining'!Y44*CH4_to_CO2e/1000</f>
        <v>10.313235311525096</v>
      </c>
      <c r="Z40" s="126">
        <f>'Coal Mining'!Z44*CH4_to_CO2e/1000</f>
        <v>10.198612964480434</v>
      </c>
      <c r="AA40" s="126">
        <f>'Coal Mining'!AA44*CH4_to_CO2e/1000</f>
        <v>10.213747458893531</v>
      </c>
      <c r="AB40" s="126">
        <f>'Coal Mining'!AB44*CH4_to_CO2e/1000</f>
        <v>10.172269390225777</v>
      </c>
      <c r="AC40" s="126">
        <f>'Coal Mining'!AC44*CH4_to_CO2e/1000</f>
        <v>10.188843422504553</v>
      </c>
      <c r="AD40" s="126">
        <f>'Coal Mining'!AD44*CH4_to_CO2e/1000</f>
        <v>10.312035383509253</v>
      </c>
      <c r="AE40" s="126">
        <f>'Coal Mining'!AE44*CH4_to_CO2e/1000</f>
        <v>10.297794354481324</v>
      </c>
      <c r="AF40" s="126">
        <f>'Coal Mining'!AF44*CH4_to_CO2e/1000</f>
        <v>10.173333510250563</v>
      </c>
      <c r="AG40" s="126">
        <f>'Coal Mining'!AG44*CH4_to_CO2e/1000</f>
        <v>10.131736676689442</v>
      </c>
      <c r="AH40" s="126">
        <f>'Coal Mining'!AH44*CH4_to_CO2e/1000</f>
        <v>10.090475650305157</v>
      </c>
      <c r="AI40" s="126">
        <f>'Coal Mining'!AI44*CH4_to_CO2e/1000</f>
        <v>10.215668878044999</v>
      </c>
      <c r="AJ40" s="126">
        <f>'Coal Mining'!AJ44*CH4_to_CO2e/1000</f>
        <v>10.219323325256251</v>
      </c>
    </row>
    <row r="41" spans="1:36" x14ac:dyDescent="0.25">
      <c r="A41" s="122" t="s">
        <v>1095</v>
      </c>
      <c r="B41" s="126">
        <f>'Coal Mining'!B45*CH4_to_CO2e/1000</f>
        <v>-17.3459829612611</v>
      </c>
      <c r="C41" s="126">
        <f>'Coal Mining'!C45*CH4_to_CO2e/1000</f>
        <v>-19.119236327499333</v>
      </c>
      <c r="D41" s="126">
        <f>'Coal Mining'!D45*CH4_to_CO2e/1000</f>
        <v>-17.284856413232824</v>
      </c>
      <c r="E41" s="126">
        <f>'Coal Mining'!E45*CH4_to_CO2e/1000</f>
        <v>-17.411517367964123</v>
      </c>
      <c r="F41" s="126">
        <f>'Coal Mining'!F45*CH4_to_CO2e/1000</f>
        <v>-18.166406155776084</v>
      </c>
      <c r="G41" s="126">
        <f>'Coal Mining'!G45*CH4_to_CO2e/1000</f>
        <v>-17.74235974872089</v>
      </c>
      <c r="H41" s="126">
        <f>'Coal Mining'!H45*CH4_to_CO2e/1000</f>
        <v>-17.953024145266028</v>
      </c>
      <c r="I41" s="126">
        <f>'Coal Mining'!I45*CH4_to_CO2e/1000</f>
        <v>-18.362521360310193</v>
      </c>
      <c r="J41" s="126">
        <f>'Coal Mining'!J45*CH4_to_CO2e/1000</f>
        <v>-18.669249538232382</v>
      </c>
      <c r="K41" s="126">
        <f>'Coal Mining'!K45*CH4_to_CO2e/1000</f>
        <v>-18.092397925963795</v>
      </c>
      <c r="L41" s="126">
        <f>'Coal Mining'!L45*CH4_to_CO2e/1000</f>
        <v>-18.061701854236176</v>
      </c>
      <c r="M41" s="126">
        <f>'Coal Mining'!M45*CH4_to_CO2e/1000</f>
        <v>-17.885879840348849</v>
      </c>
      <c r="N41" s="126">
        <f>'Coal Mining'!N45*CH4_to_CO2e/1000</f>
        <v>-18.02794445284631</v>
      </c>
      <c r="O41" s="126">
        <f>'Coal Mining'!O45*CH4_to_CO2e/1000</f>
        <v>-18.098401313580169</v>
      </c>
      <c r="P41" s="126">
        <f>'Coal Mining'!P45*CH4_to_CO2e/1000</f>
        <v>-18.317512818530716</v>
      </c>
      <c r="Q41" s="126">
        <f>'Coal Mining'!Q45*CH4_to_CO2e/1000</f>
        <v>-18.215758737771115</v>
      </c>
      <c r="R41" s="126">
        <f>'Coal Mining'!R45*CH4_to_CO2e/1000</f>
        <v>-18.140041711371307</v>
      </c>
      <c r="S41" s="126">
        <f>'Coal Mining'!S45*CH4_to_CO2e/1000</f>
        <v>-18.415375862196964</v>
      </c>
      <c r="T41" s="126">
        <f>'Coal Mining'!T45*CH4_to_CO2e/1000</f>
        <v>-18.105794270565266</v>
      </c>
      <c r="U41" s="126">
        <f>'Coal Mining'!U45*CH4_to_CO2e/1000</f>
        <v>-18.314439075975763</v>
      </c>
      <c r="V41" s="126">
        <f>'Coal Mining'!V45*CH4_to_CO2e/1000</f>
        <v>-18.326647493253528</v>
      </c>
      <c r="W41" s="126">
        <f>'Coal Mining'!W45*CH4_to_CO2e/1000</f>
        <v>-18.61438158419595</v>
      </c>
      <c r="X41" s="126">
        <f>'Coal Mining'!X45*CH4_to_CO2e/1000</f>
        <v>-18.802218468680834</v>
      </c>
      <c r="Y41" s="126">
        <f>'Coal Mining'!Y45*CH4_to_CO2e/1000</f>
        <v>-19.252952595042007</v>
      </c>
      <c r="Z41" s="126">
        <f>'Coal Mining'!Z45*CH4_to_CO2e/1000</f>
        <v>-19.550640746548218</v>
      </c>
      <c r="AA41" s="126">
        <f>'Coal Mining'!AA45*CH4_to_CO2e/1000</f>
        <v>-19.515042796508641</v>
      </c>
      <c r="AB41" s="126">
        <f>'Coal Mining'!AB45*CH4_to_CO2e/1000</f>
        <v>-19.457780503408493</v>
      </c>
      <c r="AC41" s="126">
        <f>'Coal Mining'!AC45*CH4_to_CO2e/1000</f>
        <v>-19.448145535140746</v>
      </c>
      <c r="AD41" s="126">
        <f>'Coal Mining'!AD45*CH4_to_CO2e/1000</f>
        <v>-19.170478772408011</v>
      </c>
      <c r="AE41" s="126">
        <f>'Coal Mining'!AE45*CH4_to_CO2e/1000</f>
        <v>-19.176274176610278</v>
      </c>
      <c r="AF41" s="126">
        <f>'Coal Mining'!AF45*CH4_to_CO2e/1000</f>
        <v>-19.325285016878357</v>
      </c>
      <c r="AG41" s="126">
        <f>'Coal Mining'!AG45*CH4_to_CO2e/1000</f>
        <v>-19.479860678374532</v>
      </c>
      <c r="AH41" s="126">
        <f>'Coal Mining'!AH45*CH4_to_CO2e/1000</f>
        <v>-19.622915488910337</v>
      </c>
      <c r="AI41" s="126">
        <f>'Coal Mining'!AI45*CH4_to_CO2e/1000</f>
        <v>-19.651758734018298</v>
      </c>
      <c r="AJ41" s="126">
        <f>'Coal Mining'!AJ45*CH4_to_CO2e/1000</f>
        <v>-19.555285327182137</v>
      </c>
    </row>
    <row r="42" spans="1:36" x14ac:dyDescent="0.25">
      <c r="A42" s="122" t="s">
        <v>1586</v>
      </c>
      <c r="B42" s="126">
        <f>'Other Industrial Processes'!D529*CH4_to_CO2e/1000</f>
        <v>7.5039999999999996</v>
      </c>
      <c r="C42" s="126">
        <f>'Other Industrial Processes'!E529*CH4_to_CO2e/1000</f>
        <v>7.5235999999999992</v>
      </c>
      <c r="D42" s="126">
        <f>'Other Industrial Processes'!F529*CH4_to_CO2e/1000</f>
        <v>7.5431999999999988</v>
      </c>
      <c r="E42" s="126">
        <f>'Other Industrial Processes'!G529*CH4_to_CO2e/1000</f>
        <v>7.5627999999999993</v>
      </c>
      <c r="F42" s="126">
        <f>'Other Industrial Processes'!H529*CH4_to_CO2e/1000</f>
        <v>7.5823999999999989</v>
      </c>
      <c r="G42" s="126">
        <f>'Other Industrial Processes'!I529*CH4_to_CO2e/1000</f>
        <v>7.6019999999999985</v>
      </c>
      <c r="H42" s="126">
        <f>'Other Industrial Processes'!J529*CH4_to_CO2e/1000</f>
        <v>7.6215999999999982</v>
      </c>
      <c r="I42" s="126">
        <f>'Other Industrial Processes'!K529*CH4_to_CO2e/1000</f>
        <v>7.6411999999999978</v>
      </c>
      <c r="J42" s="126">
        <f>'Other Industrial Processes'!L529*CH4_to_CO2e/1000</f>
        <v>7.6607999999999974</v>
      </c>
      <c r="K42" s="126">
        <f>'Other Industrial Processes'!M529*CH4_to_CO2e/1000</f>
        <v>7.680399999999997</v>
      </c>
      <c r="L42" s="126">
        <f>'Other Industrial Processes'!N529*CH4_to_CO2e/1000</f>
        <v>7.6999999999999966</v>
      </c>
      <c r="M42" s="126">
        <f>'Other Industrial Processes'!O529*CH4_to_CO2e/1000</f>
        <v>7.7195999999999971</v>
      </c>
      <c r="N42" s="126">
        <f>'Other Industrial Processes'!P529*CH4_to_CO2e/1000</f>
        <v>7.7391999999999959</v>
      </c>
      <c r="O42" s="126">
        <f>'Other Industrial Processes'!Q529*CH4_to_CO2e/1000</f>
        <v>7.7587999999999955</v>
      </c>
      <c r="P42" s="126">
        <f>'Other Industrial Processes'!R529*CH4_to_CO2e/1000</f>
        <v>7.778399999999996</v>
      </c>
      <c r="Q42" s="126">
        <f>'Other Industrial Processes'!S529*CH4_to_CO2e/1000</f>
        <v>7.7979999999999956</v>
      </c>
      <c r="R42" s="126">
        <f>'Other Industrial Processes'!T529*CH4_to_CO2e/1000</f>
        <v>7.8175999999999952</v>
      </c>
      <c r="S42" s="126">
        <f>'Other Industrial Processes'!U529*CH4_to_CO2e/1000</f>
        <v>7.8371999999999939</v>
      </c>
      <c r="T42" s="126">
        <f>'Other Industrial Processes'!V529*CH4_to_CO2e/1000</f>
        <v>7.8567999999999936</v>
      </c>
      <c r="U42" s="126">
        <f>'Other Industrial Processes'!W529*CH4_to_CO2e/1000</f>
        <v>7.8763999999999941</v>
      </c>
      <c r="V42" s="126">
        <f>'Other Industrial Processes'!X529*CH4_to_CO2e/1000</f>
        <v>7.8959999999999937</v>
      </c>
      <c r="W42" s="126">
        <f>'Other Industrial Processes'!Y529*CH4_to_CO2e/1000</f>
        <v>7.9155999999999933</v>
      </c>
      <c r="X42" s="126">
        <f>'Other Industrial Processes'!Z529*CH4_to_CO2e/1000</f>
        <v>7.9351999999999938</v>
      </c>
      <c r="Y42" s="126">
        <f>'Other Industrial Processes'!AA529*CH4_to_CO2e/1000</f>
        <v>7.9547999999999925</v>
      </c>
      <c r="Z42" s="126">
        <f>'Other Industrial Processes'!AB529*CH4_to_CO2e/1000</f>
        <v>7.9743999999999922</v>
      </c>
      <c r="AA42" s="126">
        <f>'Other Industrial Processes'!AC529*CH4_to_CO2e/1000</f>
        <v>7.9939999999999918</v>
      </c>
      <c r="AB42" s="126">
        <f>'Other Industrial Processes'!AD529*CH4_to_CO2e/1000</f>
        <v>8.0135999999999914</v>
      </c>
      <c r="AC42" s="126">
        <f>'Other Industrial Processes'!AE529*CH4_to_CO2e/1000</f>
        <v>8.0331999999999919</v>
      </c>
      <c r="AD42" s="126">
        <f>'Other Industrial Processes'!AF529*CH4_to_CO2e/1000</f>
        <v>8.0527999999999906</v>
      </c>
      <c r="AE42" s="126">
        <f>'Other Industrial Processes'!AG529*CH4_to_CO2e/1000</f>
        <v>8.0723999999999911</v>
      </c>
      <c r="AF42" s="126">
        <f>'Other Industrial Processes'!AH529*CH4_to_CO2e/1000</f>
        <v>8.0919999999999916</v>
      </c>
      <c r="AG42" s="126">
        <f>'Other Industrial Processes'!AI529*CH4_to_CO2e/1000</f>
        <v>8.1115999999999904</v>
      </c>
      <c r="AH42" s="126">
        <f>'Other Industrial Processes'!AJ529*CH4_to_CO2e/1000</f>
        <v>8.1311999999999891</v>
      </c>
      <c r="AI42" s="126">
        <f>'Other Industrial Processes'!AK529*CH4_to_CO2e/1000</f>
        <v>8.1507999999999896</v>
      </c>
      <c r="AJ42" s="126">
        <f>'Other Industrial Processes'!AL529*CH4_to_CO2e/1000</f>
        <v>8.1703999999999883</v>
      </c>
    </row>
    <row r="43" spans="1:36" x14ac:dyDescent="0.25">
      <c r="A43" s="122"/>
      <c r="B43" s="124"/>
      <c r="C43" s="124"/>
      <c r="D43" s="124"/>
      <c r="E43" s="124"/>
      <c r="F43" s="124"/>
      <c r="G43" s="124"/>
      <c r="H43" s="124"/>
      <c r="I43" s="124"/>
    </row>
    <row r="44" spans="1:36" x14ac:dyDescent="0.25">
      <c r="A44" s="111" t="s">
        <v>1588</v>
      </c>
      <c r="B44" s="124"/>
      <c r="C44" s="124"/>
      <c r="D44" s="124"/>
      <c r="E44" s="124"/>
      <c r="F44" s="124"/>
      <c r="G44" s="124"/>
      <c r="H44" s="124"/>
      <c r="I44" s="124"/>
    </row>
    <row r="45" spans="1:36" x14ac:dyDescent="0.25">
      <c r="A45" s="127" t="s">
        <v>838</v>
      </c>
      <c r="B45" s="125">
        <f t="shared" ref="B45:AJ45" si="9">SUM(B47:B48,B54)</f>
        <v>5.5371077959999999</v>
      </c>
      <c r="C45" s="125">
        <f t="shared" si="9"/>
        <v>5.5437978869096147</v>
      </c>
      <c r="D45" s="125">
        <f t="shared" si="9"/>
        <v>5.5833794923697315</v>
      </c>
      <c r="E45" s="125">
        <f t="shared" si="9"/>
        <v>5.6234441531018948</v>
      </c>
      <c r="F45" s="125">
        <f t="shared" si="9"/>
        <v>5.6635464428886424</v>
      </c>
      <c r="G45" s="125">
        <f t="shared" si="9"/>
        <v>5.7036139232955883</v>
      </c>
      <c r="H45" s="125">
        <f t="shared" si="9"/>
        <v>5.7436104573538804</v>
      </c>
      <c r="I45" s="125">
        <f t="shared" si="9"/>
        <v>5.7834914166995297</v>
      </c>
      <c r="J45" s="125">
        <f t="shared" si="9"/>
        <v>5.8232191770647814</v>
      </c>
      <c r="K45" s="125">
        <f t="shared" si="9"/>
        <v>5.8627386114345512</v>
      </c>
      <c r="L45" s="125">
        <f t="shared" si="9"/>
        <v>5.9020358844578</v>
      </c>
      <c r="M45" s="125">
        <f t="shared" si="9"/>
        <v>5.9409854884669411</v>
      </c>
      <c r="N45" s="125">
        <f t="shared" si="9"/>
        <v>5.9795524966560691</v>
      </c>
      <c r="O45" s="125">
        <f t="shared" si="9"/>
        <v>6.0176807080923256</v>
      </c>
      <c r="P45" s="125">
        <f t="shared" si="9"/>
        <v>6.0553349373318524</v>
      </c>
      <c r="Q45" s="125">
        <f t="shared" si="9"/>
        <v>6.092488839154103</v>
      </c>
      <c r="R45" s="125">
        <f t="shared" si="9"/>
        <v>6.1291270326751386</v>
      </c>
      <c r="S45" s="125">
        <f t="shared" si="9"/>
        <v>6.1652436422989316</v>
      </c>
      <c r="T45" s="125">
        <f t="shared" si="9"/>
        <v>6.200839002677653</v>
      </c>
      <c r="U45" s="125">
        <f t="shared" si="9"/>
        <v>6.2359327216188358</v>
      </c>
      <c r="V45" s="125">
        <f t="shared" si="9"/>
        <v>6.2705880839309156</v>
      </c>
      <c r="W45" s="125">
        <f t="shared" si="9"/>
        <v>6.3048195080136988</v>
      </c>
      <c r="X45" s="125">
        <f t="shared" si="9"/>
        <v>6.3386507916593606</v>
      </c>
      <c r="Y45" s="125">
        <f t="shared" si="9"/>
        <v>6.3721135550571457</v>
      </c>
      <c r="Z45" s="125">
        <f t="shared" si="9"/>
        <v>6.4052511242636401</v>
      </c>
      <c r="AA45" s="125">
        <f t="shared" si="9"/>
        <v>6.4381071795638194</v>
      </c>
      <c r="AB45" s="125">
        <f t="shared" si="9"/>
        <v>6.4707326285870508</v>
      </c>
      <c r="AC45" s="125">
        <f t="shared" si="9"/>
        <v>6.5031766755040463</v>
      </c>
      <c r="AD45" s="125">
        <f t="shared" si="9"/>
        <v>6.5354979122828816</v>
      </c>
      <c r="AE45" s="125">
        <f t="shared" si="9"/>
        <v>6.5677549945478377</v>
      </c>
      <c r="AF45" s="125">
        <f t="shared" si="9"/>
        <v>6.6000229093302574</v>
      </c>
      <c r="AG45" s="125">
        <f t="shared" si="9"/>
        <v>6.6323396185124661</v>
      </c>
      <c r="AH45" s="125">
        <f t="shared" si="9"/>
        <v>6.664698730434635</v>
      </c>
      <c r="AI45" s="125">
        <f t="shared" si="9"/>
        <v>6.6971497631702244</v>
      </c>
      <c r="AJ45" s="125">
        <f t="shared" si="9"/>
        <v>6.7297693281885795</v>
      </c>
    </row>
    <row r="46" spans="1:36" x14ac:dyDescent="0.25">
      <c r="A46" s="128" t="s">
        <v>839</v>
      </c>
      <c r="B46" s="125">
        <f t="shared" ref="B46:AJ46" si="10">SUM(B49:B53,B55)</f>
        <v>153.75292847593349</v>
      </c>
      <c r="C46" s="125">
        <f t="shared" si="10"/>
        <v>152.34707385241217</v>
      </c>
      <c r="D46" s="125">
        <f t="shared" si="10"/>
        <v>149.73402639099467</v>
      </c>
      <c r="E46" s="125">
        <f t="shared" si="10"/>
        <v>147.4039717007258</v>
      </c>
      <c r="F46" s="125">
        <f t="shared" si="10"/>
        <v>145.10071304746731</v>
      </c>
      <c r="G46" s="125">
        <f t="shared" si="10"/>
        <v>142.85398710669458</v>
      </c>
      <c r="H46" s="125">
        <f t="shared" si="10"/>
        <v>140.6251675292516</v>
      </c>
      <c r="I46" s="125">
        <f t="shared" si="10"/>
        <v>138.37349152194969</v>
      </c>
      <c r="J46" s="125">
        <f t="shared" si="10"/>
        <v>136.12321550700761</v>
      </c>
      <c r="K46" s="125">
        <f t="shared" si="10"/>
        <v>133.85847881077754</v>
      </c>
      <c r="L46" s="125">
        <f t="shared" si="10"/>
        <v>131.5960599410831</v>
      </c>
      <c r="M46" s="125">
        <f t="shared" si="10"/>
        <v>129.34655387444172</v>
      </c>
      <c r="N46" s="125">
        <f t="shared" si="10"/>
        <v>127.08257463962589</v>
      </c>
      <c r="O46" s="125">
        <f t="shared" si="10"/>
        <v>124.844429574328</v>
      </c>
      <c r="P46" s="125">
        <f t="shared" si="10"/>
        <v>122.60872092746359</v>
      </c>
      <c r="Q46" s="125">
        <f t="shared" si="10"/>
        <v>120.38026527625226</v>
      </c>
      <c r="R46" s="125">
        <f t="shared" si="10"/>
        <v>118.14869416577699</v>
      </c>
      <c r="S46" s="125">
        <f t="shared" si="10"/>
        <v>115.92702676227492</v>
      </c>
      <c r="T46" s="125">
        <f t="shared" si="10"/>
        <v>113.72154129132396</v>
      </c>
      <c r="U46" s="125">
        <f t="shared" si="10"/>
        <v>111.52854350192747</v>
      </c>
      <c r="V46" s="125">
        <f t="shared" si="10"/>
        <v>109.35586178817596</v>
      </c>
      <c r="W46" s="125">
        <f t="shared" si="10"/>
        <v>107.17527800168291</v>
      </c>
      <c r="X46" s="125">
        <f t="shared" si="10"/>
        <v>104.99593976813547</v>
      </c>
      <c r="Y46" s="125">
        <f t="shared" si="10"/>
        <v>102.84013747297836</v>
      </c>
      <c r="Z46" s="125">
        <f t="shared" si="10"/>
        <v>100.6713972992942</v>
      </c>
      <c r="AA46" s="125">
        <f t="shared" si="10"/>
        <v>98.492514472827466</v>
      </c>
      <c r="AB46" s="125">
        <f t="shared" si="10"/>
        <v>96.321313894349387</v>
      </c>
      <c r="AC46" s="125">
        <f t="shared" si="10"/>
        <v>94.156539612922415</v>
      </c>
      <c r="AD46" s="125">
        <f t="shared" si="10"/>
        <v>91.99833136973956</v>
      </c>
      <c r="AE46" s="125">
        <f t="shared" si="10"/>
        <v>89.843554642634189</v>
      </c>
      <c r="AF46" s="125">
        <f t="shared" si="10"/>
        <v>87.688750175070169</v>
      </c>
      <c r="AG46" s="125">
        <f t="shared" si="10"/>
        <v>85.552748825244564</v>
      </c>
      <c r="AH46" s="125">
        <f t="shared" si="10"/>
        <v>83.426003176281796</v>
      </c>
      <c r="AI46" s="125">
        <f t="shared" si="10"/>
        <v>81.309517236284208</v>
      </c>
      <c r="AJ46" s="125">
        <f t="shared" si="10"/>
        <v>79.204014374895308</v>
      </c>
    </row>
    <row r="47" spans="1:36" x14ac:dyDescent="0.25">
      <c r="A47" s="120" t="s">
        <v>840</v>
      </c>
      <c r="B47" s="126">
        <f>'Waste - Water Treatment'!B75*N2O_to_CO2e/1000</f>
        <v>0.31171101999999995</v>
      </c>
      <c r="C47" s="126">
        <f>'Waste - Water Treatment'!C75*N2O_to_CO2e/1000</f>
        <v>0.310843121534568</v>
      </c>
      <c r="D47" s="126">
        <f>'Waste - Water Treatment'!D75*N2O_to_CO2e/1000</f>
        <v>0.31402713578594404</v>
      </c>
      <c r="E47" s="126">
        <f>'Waste - Water Treatment'!E75*N2O_to_CO2e/1000</f>
        <v>0.31724164180228009</v>
      </c>
      <c r="F47" s="126">
        <f>'Waste - Water Treatment'!F75*N2O_to_CO2e/1000</f>
        <v>0.32045736026484806</v>
      </c>
      <c r="G47" s="126">
        <f>'Waste - Water Treatment'!G75*N2O_to_CO2e/1000</f>
        <v>0.32366954014043997</v>
      </c>
      <c r="H47" s="126">
        <f>'Waste - Water Treatment'!H75*N2O_to_CO2e/1000</f>
        <v>0.32687581899391199</v>
      </c>
      <c r="I47" s="126">
        <f>'Waste - Water Treatment'!I75*N2O_to_CO2e/1000</f>
        <v>0.33007327952252002</v>
      </c>
      <c r="J47" s="126">
        <f>'Waste - Water Treatment'!J75*N2O_to_CO2e/1000</f>
        <v>0.33325946711733601</v>
      </c>
      <c r="K47" s="126">
        <f>'Waste - Water Treatment'!K75*N2O_to_CO2e/1000</f>
        <v>0.33643078147563987</v>
      </c>
      <c r="L47" s="126">
        <f>'Waste - Water Treatment'!L75*N2O_to_CO2e/1000</f>
        <v>0.33958633419319989</v>
      </c>
      <c r="M47" s="126">
        <f>'Waste - Water Treatment'!M75*N2O_to_CO2e/1000</f>
        <v>0.34271791553015984</v>
      </c>
      <c r="N47" s="126">
        <f>'Waste - Water Treatment'!N75*N2O_to_CO2e/1000</f>
        <v>0.34582326200110391</v>
      </c>
      <c r="O47" s="126">
        <f>'Waste - Water Treatment'!O75*N2O_to_CO2e/1000</f>
        <v>0.34889871817059193</v>
      </c>
      <c r="P47" s="126">
        <f>'Waste - Water Treatment'!P75*N2O_to_CO2e/1000</f>
        <v>0.35194200911368784</v>
      </c>
      <c r="Q47" s="126">
        <f>'Waste - Water Treatment'!Q75*N2O_to_CO2e/1000</f>
        <v>0.35495144109751986</v>
      </c>
      <c r="R47" s="126">
        <f>'Waste - Water Treatment'!R75*N2O_to_CO2e/1000</f>
        <v>0.35792603988626381</v>
      </c>
      <c r="S47" s="126">
        <f>'Waste - Water Treatment'!S75*N2O_to_CO2e/1000</f>
        <v>0.36086545426927186</v>
      </c>
      <c r="T47" s="126">
        <f>'Waste - Water Treatment'!T75*N2O_to_CO2e/1000</f>
        <v>0.3637697395908398</v>
      </c>
      <c r="U47" s="126">
        <f>'Waste - Water Treatment'!U75*N2O_to_CO2e/1000</f>
        <v>0.3666402119278877</v>
      </c>
      <c r="V47" s="126">
        <f>'Waste - Water Treatment'!V75*N2O_to_CO2e/1000</f>
        <v>0.36948104279423977</v>
      </c>
      <c r="W47" s="126">
        <f>'Waste - Water Treatment'!W75*N2O_to_CO2e/1000</f>
        <v>0.3722932034835838</v>
      </c>
      <c r="X47" s="126">
        <f>'Waste - Water Treatment'!X75*N2O_to_CO2e/1000</f>
        <v>0.37507827729883975</v>
      </c>
      <c r="Y47" s="126">
        <f>'Waste - Water Treatment'!Y75*N2O_to_CO2e/1000</f>
        <v>0.3778383570119998</v>
      </c>
      <c r="Z47" s="126">
        <f>'Waste - Water Treatment'!Z75*N2O_to_CO2e/1000</f>
        <v>0.38057629800272774</v>
      </c>
      <c r="AA47" s="126">
        <f>'Waste - Water Treatment'!AA75*N2O_to_CO2e/1000</f>
        <v>0.3832949757156397</v>
      </c>
      <c r="AB47" s="126">
        <f>'Waste - Water Treatment'!AB75*N2O_to_CO2e/1000</f>
        <v>0.3859977345681837</v>
      </c>
      <c r="AC47" s="126">
        <f>'Waste - Water Treatment'!AC75*N2O_to_CO2e/1000</f>
        <v>0.38868780423789578</v>
      </c>
      <c r="AD47" s="126">
        <f>'Waste - Water Treatment'!AD75*N2O_to_CO2e/1000</f>
        <v>0.39136902387941563</v>
      </c>
      <c r="AE47" s="126">
        <f>'Waste - Water Treatment'!AE75*N2O_to_CO2e/1000</f>
        <v>0.39404523286447163</v>
      </c>
      <c r="AF47" s="126">
        <f>'Waste - Water Treatment'!AF75*N2O_to_CO2e/1000</f>
        <v>0.39672133225315975</v>
      </c>
      <c r="AG47" s="126">
        <f>'Waste - Water Treatment'!AG75*N2O_to_CO2e/1000</f>
        <v>0.39939980297971961</v>
      </c>
      <c r="AH47" s="126">
        <f>'Waste - Water Treatment'!AH75*N2O_to_CO2e/1000</f>
        <v>0.4020802309559996</v>
      </c>
      <c r="AI47" s="126">
        <f>'Waste - Water Treatment'!AI75*N2O_to_CO2e/1000</f>
        <v>0.40476584777007951</v>
      </c>
      <c r="AJ47" s="126">
        <f>'Waste - Water Treatment'!AJ75*N2O_to_CO2e/1000</f>
        <v>0.40746164787102362</v>
      </c>
    </row>
    <row r="48" spans="1:36" x14ac:dyDescent="0.25">
      <c r="A48" s="122" t="s">
        <v>889</v>
      </c>
      <c r="B48" s="126">
        <f>'Waste - Water Treatment'!B51*N2O_to_CO2e/1000</f>
        <v>3.6353967760000003</v>
      </c>
      <c r="C48" s="126">
        <f>'Waste - Water Treatment'!C51*N2O_to_CO2e/1000</f>
        <v>3.6429547653750469</v>
      </c>
      <c r="D48" s="126">
        <f>'Waste - Water Treatment'!D51*N2O_to_CO2e/1000</f>
        <v>3.6793523565837871</v>
      </c>
      <c r="E48" s="126">
        <f>'Waste - Water Treatment'!E51*N2O_to_CO2e/1000</f>
        <v>3.7162025112996147</v>
      </c>
      <c r="F48" s="126">
        <f>'Waste - Water Treatment'!F51*N2O_to_CO2e/1000</f>
        <v>3.7530890826237946</v>
      </c>
      <c r="G48" s="126">
        <f>'Waste - Water Treatment'!G51*N2O_to_CO2e/1000</f>
        <v>3.7899443831551483</v>
      </c>
      <c r="H48" s="126">
        <f>'Waste - Water Treatment'!H51*N2O_to_CO2e/1000</f>
        <v>3.826734638359969</v>
      </c>
      <c r="I48" s="126">
        <f>'Waste - Water Treatment'!I51*N2O_to_CO2e/1000</f>
        <v>3.8634181371770095</v>
      </c>
      <c r="J48" s="126">
        <f>'Waste - Water Treatment'!J51*N2O_to_CO2e/1000</f>
        <v>3.8999597099474452</v>
      </c>
      <c r="K48" s="126">
        <f>'Waste - Water Treatment'!K51*N2O_to_CO2e/1000</f>
        <v>3.9363078299589116</v>
      </c>
      <c r="L48" s="126">
        <f>'Waste - Water Treatment'!L51*N2O_to_CO2e/1000</f>
        <v>3.9724495502646007</v>
      </c>
      <c r="M48" s="126">
        <f>'Waste - Water Treatment'!M51*N2O_to_CO2e/1000</f>
        <v>4.0082675729367816</v>
      </c>
      <c r="N48" s="126">
        <f>'Waste - Water Treatment'!N51*N2O_to_CO2e/1000</f>
        <v>4.0437292346549656</v>
      </c>
      <c r="O48" s="126">
        <f>'Waste - Water Treatment'!O51*N2O_to_CO2e/1000</f>
        <v>4.0787819899217341</v>
      </c>
      <c r="P48" s="126">
        <f>'Waste - Water Treatment'!P51*N2O_to_CO2e/1000</f>
        <v>4.1133929282181647</v>
      </c>
      <c r="Q48" s="126">
        <f>'Waste - Water Treatment'!Q51*N2O_to_CO2e/1000</f>
        <v>4.1475373980565831</v>
      </c>
      <c r="R48" s="126">
        <f>'Waste - Water Treatment'!R51*N2O_to_CO2e/1000</f>
        <v>4.1812009927888747</v>
      </c>
      <c r="S48" s="126">
        <f>'Waste - Water Treatment'!S51*N2O_to_CO2e/1000</f>
        <v>4.2143781880296602</v>
      </c>
      <c r="T48" s="126">
        <f>'Waste - Water Treatment'!T51*N2O_to_CO2e/1000</f>
        <v>4.2470692630868134</v>
      </c>
      <c r="U48" s="126">
        <f>'Waste - Water Treatment'!U51*N2O_to_CO2e/1000</f>
        <v>4.279292509690948</v>
      </c>
      <c r="V48" s="126">
        <f>'Waste - Water Treatment'!V51*N2O_to_CO2e/1000</f>
        <v>4.3111070411366761</v>
      </c>
      <c r="W48" s="126">
        <f>'Waste - Water Treatment'!W51*N2O_to_CO2e/1000</f>
        <v>4.3425263045301152</v>
      </c>
      <c r="X48" s="126">
        <f>'Waste - Water Treatment'!X51*N2O_to_CO2e/1000</f>
        <v>4.3735725143605206</v>
      </c>
      <c r="Y48" s="126">
        <f>'Waste - Water Treatment'!Y51*N2O_to_CO2e/1000</f>
        <v>4.4042751980451458</v>
      </c>
      <c r="Z48" s="126">
        <f>'Waste - Water Treatment'!Z51*N2O_to_CO2e/1000</f>
        <v>4.4346748262609124</v>
      </c>
      <c r="AA48" s="126">
        <f>'Waste - Water Treatment'!AA51*N2O_to_CO2e/1000</f>
        <v>4.4648122038481795</v>
      </c>
      <c r="AB48" s="126">
        <f>'Waste - Water Treatment'!AB51*N2O_to_CO2e/1000</f>
        <v>4.4947348940188672</v>
      </c>
      <c r="AC48" s="126">
        <f>'Waste - Water Treatment'!AC51*N2O_to_CO2e/1000</f>
        <v>4.5244888712661506</v>
      </c>
      <c r="AD48" s="126">
        <f>'Waste - Water Treatment'!AD51*N2O_to_CO2e/1000</f>
        <v>4.5541288884034659</v>
      </c>
      <c r="AE48" s="126">
        <f>'Waste - Water Treatment'!AE51*N2O_to_CO2e/1000</f>
        <v>4.583709761683366</v>
      </c>
      <c r="AF48" s="126">
        <f>'Waste - Water Treatment'!AF51*N2O_to_CO2e/1000</f>
        <v>4.613301577077098</v>
      </c>
      <c r="AG48" s="126">
        <f>'Waste - Water Treatment'!AG51*N2O_to_CO2e/1000</f>
        <v>4.6429398155327464</v>
      </c>
      <c r="AH48" s="126">
        <f>'Waste - Water Treatment'!AH51*N2O_to_CO2e/1000</f>
        <v>4.6726184994786353</v>
      </c>
      <c r="AI48" s="126">
        <f>'Waste - Water Treatment'!AI51*N2O_to_CO2e/1000</f>
        <v>4.7023839154001452</v>
      </c>
      <c r="AJ48" s="126">
        <f>'Waste - Water Treatment'!AJ51*N2O_to_CO2e/1000</f>
        <v>4.7323076803175557</v>
      </c>
    </row>
    <row r="49" spans="1:36" x14ac:dyDescent="0.25">
      <c r="A49" s="120" t="s">
        <v>1660</v>
      </c>
      <c r="B49" s="126">
        <f>'Waste - Landfills'!B13*CH4_to_CO2e/1000</f>
        <v>134.792</v>
      </c>
      <c r="C49" s="126">
        <f>'Waste - Landfills'!C13*CH4_to_CO2e/1000</f>
        <v>133.28801366448334</v>
      </c>
      <c r="D49" s="126">
        <f>'Waste - Landfills'!D13*CH4_to_CO2e/1000</f>
        <v>130.56594187030308</v>
      </c>
      <c r="E49" s="126">
        <f>'Waste - Landfills'!E13*CH4_to_CO2e/1000</f>
        <v>128.12609365044625</v>
      </c>
      <c r="F49" s="126">
        <f>'Waste - Landfills'!F13*CH4_to_CO2e/1000</f>
        <v>125.71331418675945</v>
      </c>
      <c r="G49" s="126">
        <f>'Waste - Landfills'!G13*CH4_to_CO2e/1000</f>
        <v>123.35750657164036</v>
      </c>
      <c r="H49" s="126">
        <f>'Waste - Landfills'!H13*CH4_to_CO2e/1000</f>
        <v>121.02012527644553</v>
      </c>
      <c r="I49" s="126">
        <f>'Waste - Landfills'!I13*CH4_to_CO2e/1000</f>
        <v>118.66050724721566</v>
      </c>
      <c r="J49" s="126">
        <f>'Waste - Landfills'!J13*CH4_to_CO2e/1000</f>
        <v>116.30299160622873</v>
      </c>
      <c r="K49" s="126">
        <f>'Waste - Landfills'!K13*CH4_to_CO2e/1000</f>
        <v>113.93183994281569</v>
      </c>
      <c r="L49" s="126">
        <f>'Waste - Landfills'!L13*CH4_to_CO2e/1000</f>
        <v>111.56385710926764</v>
      </c>
      <c r="M49" s="126">
        <f>'Waste - Landfills'!M13*CH4_to_CO2e/1000</f>
        <v>109.20992013737106</v>
      </c>
      <c r="N49" s="126">
        <f>'Waste - Landfills'!N13*CH4_to_CO2e/1000</f>
        <v>106.84271549548092</v>
      </c>
      <c r="O49" s="126">
        <f>'Waste - Landfills'!O13*CH4_to_CO2e/1000</f>
        <v>104.5026708739093</v>
      </c>
      <c r="P49" s="126">
        <f>'Waste - Landfills'!P13*CH4_to_CO2e/1000</f>
        <v>102.16645997516244</v>
      </c>
      <c r="Q49" s="126">
        <f>'Waste - Landfills'!Q13*CH4_to_CO2e/1000</f>
        <v>99.838950124223558</v>
      </c>
      <c r="R49" s="126">
        <f>'Waste - Landfills'!R13*CH4_to_CO2e/1000</f>
        <v>97.509798317087998</v>
      </c>
      <c r="S49" s="126">
        <f>'Waste - Landfills'!S13*CH4_to_CO2e/1000</f>
        <v>95.192027448274359</v>
      </c>
      <c r="T49" s="126">
        <f>'Waste - Landfills'!T13*CH4_to_CO2e/1000</f>
        <v>92.891905421259196</v>
      </c>
      <c r="U49" s="126">
        <f>'Waste - Landfills'!U13*CH4_to_CO2e/1000</f>
        <v>90.605684340931447</v>
      </c>
      <c r="V49" s="126">
        <f>'Waste - Landfills'!V13*CH4_to_CO2e/1000</f>
        <v>88.341041251645834</v>
      </c>
      <c r="W49" s="126">
        <f>'Waste - Landfills'!W13*CH4_to_CO2e/1000</f>
        <v>86.06971754854122</v>
      </c>
      <c r="X49" s="126">
        <f>'Waste - Landfills'!X13*CH4_to_CO2e/1000</f>
        <v>83.800799756627626</v>
      </c>
      <c r="Y49" s="126">
        <f>'Waste - Landfills'!Y13*CH4_to_CO2e/1000</f>
        <v>81.556500213939159</v>
      </c>
      <c r="Z49" s="126">
        <f>'Waste - Landfills'!Z13*CH4_to_CO2e/1000</f>
        <v>79.300241636047687</v>
      </c>
      <c r="AA49" s="126">
        <f>'Waste - Landfills'!AA13*CH4_to_CO2e/1000</f>
        <v>77.034715873623639</v>
      </c>
      <c r="AB49" s="126">
        <f>'Waste - Landfills'!AB13*CH4_to_CO2e/1000</f>
        <v>74.777629292740826</v>
      </c>
      <c r="AC49" s="126">
        <f>'Waste - Landfills'!AC13*CH4_to_CO2e/1000</f>
        <v>72.527612183661901</v>
      </c>
      <c r="AD49" s="126">
        <f>'Waste - Landfills'!AD13*CH4_to_CO2e/1000</f>
        <v>70.284670747320263</v>
      </c>
      <c r="AE49" s="126">
        <f>'Waste - Landfills'!AE13*CH4_to_CO2e/1000</f>
        <v>68.045537907281513</v>
      </c>
      <c r="AF49" s="126">
        <f>'Waste - Landfills'!AF13*CH4_to_CO2e/1000</f>
        <v>65.806587034907452</v>
      </c>
      <c r="AG49" s="126">
        <f>'Waste - Landfills'!AG13*CH4_to_CO2e/1000</f>
        <v>63.58656431635243</v>
      </c>
      <c r="AH49" s="126">
        <f>'Waste - Landfills'!AH13*CH4_to_CO2e/1000</f>
        <v>61.375935553192974</v>
      </c>
      <c r="AI49" s="126">
        <f>'Waste - Landfills'!AI13*CH4_to_CO2e/1000</f>
        <v>59.175595616567968</v>
      </c>
      <c r="AJ49" s="126">
        <f>'Waste - Landfills'!AJ13*CH4_to_CO2e/1000</f>
        <v>56.986100534831174</v>
      </c>
    </row>
    <row r="50" spans="1:36" x14ac:dyDescent="0.25">
      <c r="A50" s="120" t="s">
        <v>886</v>
      </c>
      <c r="B50" s="126">
        <f>'Waste - Water Treatment'!B12*CH4_to_CO2e/1000</f>
        <v>6.7249284759334991</v>
      </c>
      <c r="C50" s="126">
        <f>'Waste - Water Treatment'!C12*CH4_to_CO2e/1000</f>
        <v>6.7716386236753801</v>
      </c>
      <c r="D50" s="126">
        <f>'Waste - Water Treatment'!D12*CH4_to_CO2e/1000</f>
        <v>6.8256938652634203</v>
      </c>
      <c r="E50" s="126">
        <f>'Waste - Water Treatment'!E12*CH4_to_CO2e/1000</f>
        <v>6.8802677903700999</v>
      </c>
      <c r="F50" s="126">
        <f>'Waste - Water Treatment'!F12*CH4_to_CO2e/1000</f>
        <v>6.9346578159485208</v>
      </c>
      <c r="G50" s="126">
        <f>'Waste - Water Treatment'!G12*CH4_to_CO2e/1000</f>
        <v>6.98875172401742</v>
      </c>
      <c r="H50" s="126">
        <f>'Waste - Water Treatment'!H12*CH4_to_CO2e/1000</f>
        <v>7.0424950158238193</v>
      </c>
      <c r="I50" s="126">
        <f>'Waste - Water Treatment'!I12*CH4_to_CO2e/1000</f>
        <v>7.0958204353770986</v>
      </c>
      <c r="J50" s="126">
        <f>'Waste - Water Treatment'!J12*CH4_to_CO2e/1000</f>
        <v>7.1486722165114198</v>
      </c>
      <c r="K50" s="126">
        <f>'Waste - Water Treatment'!K12*CH4_to_CO2e/1000</f>
        <v>7.2009679150590999</v>
      </c>
      <c r="L50" s="126">
        <f>'Waste - Water Treatment'!L12*CH4_to_CO2e/1000</f>
        <v>7.2526897664628383</v>
      </c>
      <c r="M50" s="126">
        <f>'Waste - Water Treatment'!M12*CH4_to_CO2e/1000</f>
        <v>7.3036475756845993</v>
      </c>
      <c r="N50" s="126">
        <f>'Waste - Water Treatment'!N12*CH4_to_CO2e/1000</f>
        <v>7.3537924953861182</v>
      </c>
      <c r="O50" s="126">
        <f>'Waste - Water Treatment'!O12*CH4_to_CO2e/1000</f>
        <v>7.4030433695898381</v>
      </c>
      <c r="P50" s="126">
        <f>'Waste - Water Treatment'!P12*CH4_to_CO2e/1000</f>
        <v>7.4513520158298183</v>
      </c>
      <c r="Q50" s="126">
        <f>'Waste - Water Treatment'!Q12*CH4_to_CO2e/1000</f>
        <v>7.4986842139588399</v>
      </c>
      <c r="R50" s="126">
        <f>'Waste - Water Treatment'!R12*CH4_to_CO2e/1000</f>
        <v>7.5450228019601377</v>
      </c>
      <c r="S50" s="126">
        <f>'Waste - Water Treatment'!S12*CH4_to_CO2e/1000</f>
        <v>7.5903652657852598</v>
      </c>
      <c r="T50" s="126">
        <f>'Waste - Water Treatment'!T12*CH4_to_CO2e/1000</f>
        <v>7.634718565816299</v>
      </c>
      <c r="U50" s="126">
        <f>'Waste - Water Treatment'!U12*CH4_to_CO2e/1000</f>
        <v>7.6781188752629204</v>
      </c>
      <c r="V50" s="126">
        <f>'Waste - Water Treatment'!V12*CH4_to_CO2e/1000</f>
        <v>7.720668252026238</v>
      </c>
      <c r="W50" s="126">
        <f>'Waste - Water Treatment'!W12*CH4_to_CO2e/1000</f>
        <v>7.7623939766486378</v>
      </c>
      <c r="X50" s="126">
        <f>'Waste - Water Treatment'!X12*CH4_to_CO2e/1000</f>
        <v>7.8033372504366998</v>
      </c>
      <c r="Y50" s="126">
        <f>'Waste - Water Treatment'!Y12*CH4_to_CO2e/1000</f>
        <v>7.8435507021899999</v>
      </c>
      <c r="Z50" s="126">
        <f>'Waste - Water Treatment'!Z12*CH4_to_CO2e/1000</f>
        <v>7.8831041019476187</v>
      </c>
      <c r="AA50" s="126">
        <f>'Waste - Water Treatment'!AA12*CH4_to_CO2e/1000</f>
        <v>7.9220671574168602</v>
      </c>
      <c r="AB50" s="126">
        <f>'Waste - Water Treatment'!AB12*CH4_to_CO2e/1000</f>
        <v>7.9605197987169385</v>
      </c>
      <c r="AC50" s="126">
        <f>'Waste - Water Treatment'!AC12*CH4_to_CO2e/1000</f>
        <v>7.9985387354917803</v>
      </c>
      <c r="AD50" s="126">
        <f>'Waste - Water Treatment'!AD12*CH4_to_CO2e/1000</f>
        <v>8.0362140163862197</v>
      </c>
      <c r="AE50" s="126">
        <f>'Waste - Water Treatment'!AE12*CH4_to_CO2e/1000</f>
        <v>8.0736350251727806</v>
      </c>
      <c r="AF50" s="126">
        <f>'Waste - Water Treatment'!AF12*CH4_to_CO2e/1000</f>
        <v>8.1109146239277798</v>
      </c>
      <c r="AG50" s="126">
        <f>'Waste - Water Treatment'!AG12*CH4_to_CO2e/1000</f>
        <v>8.1481099085616986</v>
      </c>
      <c r="AH50" s="126">
        <f>'Waste - Water Treatment'!AH12*CH4_to_CO2e/1000</f>
        <v>8.1852119656299998</v>
      </c>
      <c r="AI50" s="126">
        <f>'Waste - Water Treatment'!AI12*CH4_to_CO2e/1000</f>
        <v>8.2222943881875992</v>
      </c>
      <c r="AJ50" s="126">
        <f>'Waste - Water Treatment'!AJ12*CH4_to_CO2e/1000</f>
        <v>8.2594700175335607</v>
      </c>
    </row>
    <row r="51" spans="1:36" x14ac:dyDescent="0.25">
      <c r="A51" s="120" t="s">
        <v>887</v>
      </c>
      <c r="B51" s="126">
        <f>'Waste - Water Treatment'!B17*CH4_to_CO2e/1000</f>
        <v>3.0240000000000005</v>
      </c>
      <c r="C51" s="126">
        <f>'Waste - Water Treatment'!C17*CH4_to_CO2e/1000</f>
        <v>3.045004161944167</v>
      </c>
      <c r="D51" s="126">
        <f>'Waste - Water Treatment'!D17*CH4_to_CO2e/1000</f>
        <v>3.0693111937805977</v>
      </c>
      <c r="E51" s="126">
        <f>'Waste - Water Treatment'!E17*CH4_to_CO2e/1000</f>
        <v>3.0938514621437774</v>
      </c>
      <c r="F51" s="126">
        <f>'Waste - Water Treatment'!F17*CH4_to_CO2e/1000</f>
        <v>3.1183090363674664</v>
      </c>
      <c r="G51" s="126">
        <f>'Waste - Water Treatment'!G17*CH4_to_CO2e/1000</f>
        <v>3.1426334553684652</v>
      </c>
      <c r="H51" s="126">
        <f>'Waste - Water Treatment'!H17*CH4_to_CO2e/1000</f>
        <v>3.166800212681077</v>
      </c>
      <c r="I51" s="126">
        <f>'Waste - Water Treatment'!I17*CH4_to_CO2e/1000</f>
        <v>3.1907790652898749</v>
      </c>
      <c r="J51" s="126">
        <f>'Waste - Water Treatment'!J17*CH4_to_CO2e/1000</f>
        <v>3.2145449368113557</v>
      </c>
      <c r="K51" s="126">
        <f>'Waste - Water Treatment'!K17*CH4_to_CO2e/1000</f>
        <v>3.2380607545593252</v>
      </c>
      <c r="L51" s="126">
        <f>'Waste - Water Treatment'!L17*CH4_to_CO2e/1000</f>
        <v>3.2613185303415722</v>
      </c>
      <c r="M51" s="126">
        <f>'Waste - Water Treatment'!M17*CH4_to_CO2e/1000</f>
        <v>3.2842327391154007</v>
      </c>
      <c r="N51" s="126">
        <f>'Waste - Water Treatment'!N17*CH4_to_CO2e/1000</f>
        <v>3.3067814156879565</v>
      </c>
      <c r="O51" s="126">
        <f>'Waste - Water Treatment'!O17*CH4_to_CO2e/1000</f>
        <v>3.3289280666337677</v>
      </c>
      <c r="P51" s="126">
        <f>'Waste - Water Treatment'!P17*CH4_to_CO2e/1000</f>
        <v>3.3506510257332582</v>
      </c>
      <c r="Q51" s="126">
        <f>'Waste - Water Treatment'!Q17*CH4_to_CO2e/1000</f>
        <v>3.3719349052056398</v>
      </c>
      <c r="R51" s="126">
        <f>'Waste - Water Treatment'!R17*CH4_to_CO2e/1000</f>
        <v>3.3927719878032327</v>
      </c>
      <c r="S51" s="126">
        <f>'Waste - Water Treatment'!S17*CH4_to_CO2e/1000</f>
        <v>3.4131611430333377</v>
      </c>
      <c r="T51" s="126">
        <f>'Waste - Water Treatment'!T17*CH4_to_CO2e/1000</f>
        <v>3.4331055007724358</v>
      </c>
      <c r="U51" s="126">
        <f>'Waste - Water Treatment'!U17*CH4_to_CO2e/1000</f>
        <v>3.4526213270353106</v>
      </c>
      <c r="V51" s="126">
        <f>'Waste - Water Treatment'!V17*CH4_to_CO2e/1000</f>
        <v>3.471754514219791</v>
      </c>
      <c r="W51" s="126">
        <f>'Waste - Water Treatment'!W17*CH4_to_CO2e/1000</f>
        <v>3.4905173295730978</v>
      </c>
      <c r="X51" s="126">
        <f>'Waste - Water Treatment'!X17*CH4_to_CO2e/1000</f>
        <v>3.5089283000954139</v>
      </c>
      <c r="Y51" s="126">
        <f>'Waste - Water Treatment'!Y17*CH4_to_CO2e/1000</f>
        <v>3.5270110913900972</v>
      </c>
      <c r="Z51" s="126">
        <f>'Waste - Water Treatment'!Z17*CH4_to_CO2e/1000</f>
        <v>3.5447970769652732</v>
      </c>
      <c r="AA51" s="126">
        <f>'Waste - Water Treatment'!AA17*CH4_to_CO2e/1000</f>
        <v>3.5623176023003218</v>
      </c>
      <c r="AB51" s="126">
        <f>'Waste - Water Treatment'!AB17*CH4_to_CO2e/1000</f>
        <v>3.5796086095887372</v>
      </c>
      <c r="AC51" s="126">
        <f>'Waste - Water Treatment'!AC17*CH4_to_CO2e/1000</f>
        <v>3.5967045928722108</v>
      </c>
      <c r="AD51" s="126">
        <f>'Waste - Water Treatment'!AD17*CH4_to_CO2e/1000</f>
        <v>3.6136460443437781</v>
      </c>
      <c r="AE51" s="126">
        <f>'Waste - Water Treatment'!AE17*CH4_to_CO2e/1000</f>
        <v>3.6304731572231983</v>
      </c>
      <c r="AF51" s="126">
        <f>'Waste - Water Treatment'!AF17*CH4_to_CO2e/1000</f>
        <v>3.6472366822240301</v>
      </c>
      <c r="AG51" s="126">
        <f>'Waste - Water Treatment'!AG17*CH4_to_CO2e/1000</f>
        <v>3.6639622936763305</v>
      </c>
      <c r="AH51" s="126">
        <f>'Waste - Water Treatment'!AH17*CH4_to_CO2e/1000</f>
        <v>3.680645983469621</v>
      </c>
      <c r="AI51" s="126">
        <f>'Waste - Water Treatment'!AI17*CH4_to_CO2e/1000</f>
        <v>3.6973208442083618</v>
      </c>
      <c r="AJ51" s="126">
        <f>'Waste - Water Treatment'!AJ17*CH4_to_CO2e/1000</f>
        <v>3.7140376172631977</v>
      </c>
    </row>
    <row r="52" spans="1:36" x14ac:dyDescent="0.25">
      <c r="A52" s="120" t="s">
        <v>888</v>
      </c>
      <c r="B52" s="126">
        <f>'Waste - Water Treatment'!B22*CH4_to_CO2e/1000</f>
        <v>0.224</v>
      </c>
      <c r="C52" s="126">
        <f>'Waste - Water Treatment'!C22*CH4_to_CO2e/1000</f>
        <v>0.22555586384771603</v>
      </c>
      <c r="D52" s="126">
        <f>'Waste - Water Treatment'!D22*CH4_to_CO2e/1000</f>
        <v>0.22735638472448863</v>
      </c>
      <c r="E52" s="126">
        <f>'Waste - Water Treatment'!E22*CH4_to_CO2e/1000</f>
        <v>0.22917418238102052</v>
      </c>
      <c r="F52" s="126">
        <f>'Waste - Water Treatment'!F22*CH4_to_CO2e/1000</f>
        <v>0.23098585454573822</v>
      </c>
      <c r="G52" s="126">
        <f>'Waste - Water Treatment'!G22*CH4_to_CO2e/1000</f>
        <v>0.23278766336062701</v>
      </c>
      <c r="H52" s="126">
        <f>'Waste - Water Treatment'!H22*CH4_to_CO2e/1000</f>
        <v>0.23457779353193159</v>
      </c>
      <c r="I52" s="126">
        <f>'Waste - Water Treatment'!I22*CH4_to_CO2e/1000</f>
        <v>0.23635400483628699</v>
      </c>
      <c r="J52" s="126">
        <f>'Waste - Water Treatment'!J22*CH4_to_CO2e/1000</f>
        <v>0.23811443976380414</v>
      </c>
      <c r="K52" s="126">
        <f>'Waste - Water Treatment'!K22*CH4_to_CO2e/1000</f>
        <v>0.23985635218957971</v>
      </c>
      <c r="L52" s="126">
        <f>'Waste - Water Treatment'!L22*CH4_to_CO2e/1000</f>
        <v>0.2415791503956721</v>
      </c>
      <c r="M52" s="126">
        <f>'Waste - Water Treatment'!M22*CH4_to_CO2e/1000</f>
        <v>0.2432764991937334</v>
      </c>
      <c r="N52" s="126">
        <f>'Waste - Water Treatment'!N22*CH4_to_CO2e/1000</f>
        <v>0.24494677153244129</v>
      </c>
      <c r="O52" s="126">
        <f>'Waste - Water Treatment'!O22*CH4_to_CO2e/1000</f>
        <v>0.246587264195094</v>
      </c>
      <c r="P52" s="126">
        <f>'Waste - Water Treatment'!P22*CH4_to_CO2e/1000</f>
        <v>0.24819637227653774</v>
      </c>
      <c r="Q52" s="126">
        <f>'Waste - Water Treatment'!Q22*CH4_to_CO2e/1000</f>
        <v>0.24977295594115864</v>
      </c>
      <c r="R52" s="126">
        <f>'Waste - Water Treatment'!R22*CH4_to_CO2e/1000</f>
        <v>0.25131644354098037</v>
      </c>
      <c r="S52" s="126">
        <f>'Waste - Water Treatment'!S22*CH4_to_CO2e/1000</f>
        <v>0.25282675133580296</v>
      </c>
      <c r="T52" s="126">
        <f>'Waste - Water Treatment'!T22*CH4_to_CO2e/1000</f>
        <v>0.25430411116832874</v>
      </c>
      <c r="U52" s="126">
        <f>'Waste - Water Treatment'!U22*CH4_to_CO2e/1000</f>
        <v>0.25574972792854173</v>
      </c>
      <c r="V52" s="126">
        <f>'Waste - Water Treatment'!V22*CH4_to_CO2e/1000</f>
        <v>0.25716700105331808</v>
      </c>
      <c r="W52" s="126">
        <f>'Waste - Water Treatment'!W22*CH4_to_CO2e/1000</f>
        <v>0.25855683922763711</v>
      </c>
      <c r="X52" s="126">
        <f>'Waste - Water Treatment'!X22*CH4_to_CO2e/1000</f>
        <v>0.25992061482188272</v>
      </c>
      <c r="Y52" s="126">
        <f>'Waste - Water Treatment'!Y22*CH4_to_CO2e/1000</f>
        <v>0.26126008084371122</v>
      </c>
      <c r="Z52" s="126">
        <f>'Waste - Water Treatment'!Z22*CH4_to_CO2e/1000</f>
        <v>0.26257756125668713</v>
      </c>
      <c r="AA52" s="126">
        <f>'Waste - Water Treatment'!AA22*CH4_to_CO2e/1000</f>
        <v>0.26387537794817223</v>
      </c>
      <c r="AB52" s="126">
        <f>'Waste - Water Treatment'!AB22*CH4_to_CO2e/1000</f>
        <v>0.26515619330286971</v>
      </c>
      <c r="AC52" s="126">
        <f>'Waste - Water Treatment'!AC22*CH4_to_CO2e/1000</f>
        <v>0.26642256243497886</v>
      </c>
      <c r="AD52" s="126">
        <f>'Waste - Water Treatment'!AD22*CH4_to_CO2e/1000</f>
        <v>0.26767748476620606</v>
      </c>
      <c r="AE52" s="126">
        <f>'Waste - Water Treatment'!AE22*CH4_to_CO2e/1000</f>
        <v>0.26892393757208899</v>
      </c>
      <c r="AF52" s="126">
        <f>'Waste - Water Treatment'!AF22*CH4_to_CO2e/1000</f>
        <v>0.27016568016474318</v>
      </c>
      <c r="AG52" s="126">
        <f>'Waste - Water Treatment'!AG22*CH4_to_CO2e/1000</f>
        <v>0.27140461434639507</v>
      </c>
      <c r="AH52" s="126">
        <f>'Waste - Water Treatment'!AH22*CH4_to_CO2e/1000</f>
        <v>0.27264044321997216</v>
      </c>
      <c r="AI52" s="126">
        <f>'Waste - Water Treatment'!AI22*CH4_to_CO2e/1000</f>
        <v>0.27387561808950844</v>
      </c>
      <c r="AJ52" s="126">
        <f>'Waste - Water Treatment'!AJ22*CH4_to_CO2e/1000</f>
        <v>0.27511389757505184</v>
      </c>
    </row>
    <row r="53" spans="1:36" x14ac:dyDescent="0.25">
      <c r="A53" s="120" t="s">
        <v>1583</v>
      </c>
      <c r="B53" s="126">
        <f>'Other Industrial Processes'!D535*CH4_to_CO2e/1000</f>
        <v>2.38</v>
      </c>
      <c r="C53" s="126">
        <f>'Other Industrial Processes'!E535*CH4_to_CO2e/1000</f>
        <v>2.4079999999999999</v>
      </c>
      <c r="D53" s="126">
        <f>'Other Industrial Processes'!F535*CH4_to_CO2e/1000</f>
        <v>2.4359999999999999</v>
      </c>
      <c r="E53" s="126">
        <f>'Other Industrial Processes'!G535*CH4_to_CO2e/1000</f>
        <v>2.464</v>
      </c>
      <c r="F53" s="126">
        <f>'Other Industrial Processes'!H535*CH4_to_CO2e/1000</f>
        <v>2.492</v>
      </c>
      <c r="G53" s="126">
        <f>'Other Industrial Processes'!I535*CH4_to_CO2e/1000</f>
        <v>2.52</v>
      </c>
      <c r="H53" s="126">
        <f>'Other Industrial Processes'!J535*CH4_to_CO2e/1000</f>
        <v>2.548</v>
      </c>
      <c r="I53" s="126">
        <f>'Other Industrial Processes'!K535*CH4_to_CO2e/1000</f>
        <v>2.5760000000000001</v>
      </c>
      <c r="J53" s="126">
        <f>'Other Industrial Processes'!L535*CH4_to_CO2e/1000</f>
        <v>2.6040000000000001</v>
      </c>
      <c r="K53" s="126">
        <f>'Other Industrial Processes'!M535*CH4_to_CO2e/1000</f>
        <v>2.6320000000000001</v>
      </c>
      <c r="L53" s="126">
        <f>'Other Industrial Processes'!N535*CH4_to_CO2e/1000</f>
        <v>2.66</v>
      </c>
      <c r="M53" s="126">
        <f>'Other Industrial Processes'!O535*CH4_to_CO2e/1000</f>
        <v>2.6880000000000002</v>
      </c>
      <c r="N53" s="126">
        <f>'Other Industrial Processes'!P535*CH4_to_CO2e/1000</f>
        <v>2.7160000000000002</v>
      </c>
      <c r="O53" s="126">
        <f>'Other Industrial Processes'!Q535*CH4_to_CO2e/1000</f>
        <v>2.7440000000000002</v>
      </c>
      <c r="P53" s="126">
        <f>'Other Industrial Processes'!R535*CH4_to_CO2e/1000</f>
        <v>2.7719999999999998</v>
      </c>
      <c r="Q53" s="126">
        <f>'Other Industrial Processes'!S535*CH4_to_CO2e/1000</f>
        <v>2.8</v>
      </c>
      <c r="R53" s="126">
        <f>'Other Industrial Processes'!T535*CH4_to_CO2e/1000</f>
        <v>2.8279999999999998</v>
      </c>
      <c r="S53" s="126">
        <f>'Other Industrial Processes'!U535*CH4_to_CO2e/1000</f>
        <v>2.8559999999999999</v>
      </c>
      <c r="T53" s="126">
        <f>'Other Industrial Processes'!V535*CH4_to_CO2e/1000</f>
        <v>2.8839999999999999</v>
      </c>
      <c r="U53" s="126">
        <f>'Other Industrial Processes'!W535*CH4_to_CO2e/1000</f>
        <v>2.9119999999999999</v>
      </c>
      <c r="V53" s="126">
        <f>'Other Industrial Processes'!X535*CH4_to_CO2e/1000</f>
        <v>2.94</v>
      </c>
      <c r="W53" s="126">
        <f>'Other Industrial Processes'!Y535*CH4_to_CO2e/1000</f>
        <v>2.968</v>
      </c>
      <c r="X53" s="126">
        <f>'Other Industrial Processes'!Z535*CH4_to_CO2e/1000</f>
        <v>2.996</v>
      </c>
      <c r="Y53" s="126">
        <f>'Other Industrial Processes'!AA535*CH4_to_CO2e/1000</f>
        <v>3.024</v>
      </c>
      <c r="Z53" s="126">
        <f>'Other Industrial Processes'!AB535*CH4_to_CO2e/1000</f>
        <v>3.052</v>
      </c>
      <c r="AA53" s="126">
        <f>'Other Industrial Processes'!AC535*CH4_to_CO2e/1000</f>
        <v>3.08</v>
      </c>
      <c r="AB53" s="126">
        <f>'Other Industrial Processes'!AD535*CH4_to_CO2e/1000</f>
        <v>3.1080000000000001</v>
      </c>
      <c r="AC53" s="126">
        <f>'Other Industrial Processes'!AE535*CH4_to_CO2e/1000</f>
        <v>3.1360000000000001</v>
      </c>
      <c r="AD53" s="126">
        <f>'Other Industrial Processes'!AF535*CH4_to_CO2e/1000</f>
        <v>3.1640000000000001</v>
      </c>
      <c r="AE53" s="126">
        <f>'Other Industrial Processes'!AG535*CH4_to_CO2e/1000</f>
        <v>3.1920000000000002</v>
      </c>
      <c r="AF53" s="126">
        <f>'Other Industrial Processes'!AH535*CH4_to_CO2e/1000</f>
        <v>3.22</v>
      </c>
      <c r="AG53" s="126">
        <f>'Other Industrial Processes'!AI535*CH4_to_CO2e/1000</f>
        <v>3.2480000000000002</v>
      </c>
      <c r="AH53" s="126">
        <f>'Other Industrial Processes'!AJ535*CH4_to_CO2e/1000</f>
        <v>3.2759999999999998</v>
      </c>
      <c r="AI53" s="126">
        <f>'Other Industrial Processes'!AK535*CH4_to_CO2e/1000</f>
        <v>3.3039999999999998</v>
      </c>
      <c r="AJ53" s="126">
        <f>'Other Industrial Processes'!AL535*CH4_to_CO2e/1000</f>
        <v>3.3319999999999999</v>
      </c>
    </row>
    <row r="54" spans="1:36" x14ac:dyDescent="0.25">
      <c r="A54" s="120" t="s">
        <v>1587</v>
      </c>
      <c r="B54" s="126">
        <f>'Other Industrial Processes'!D536*N2O_to_CO2e/1000</f>
        <v>1.59</v>
      </c>
      <c r="C54" s="126">
        <f>'Other Industrial Processes'!E536*N2O_to_CO2e/1000</f>
        <v>1.59</v>
      </c>
      <c r="D54" s="126">
        <f>'Other Industrial Processes'!F536*N2O_to_CO2e/1000</f>
        <v>1.59</v>
      </c>
      <c r="E54" s="126">
        <f>'Other Industrial Processes'!G536*N2O_to_CO2e/1000</f>
        <v>1.59</v>
      </c>
      <c r="F54" s="126">
        <f>'Other Industrial Processes'!H536*N2O_to_CO2e/1000</f>
        <v>1.59</v>
      </c>
      <c r="G54" s="126">
        <f>'Other Industrial Processes'!I536*N2O_to_CO2e/1000</f>
        <v>1.59</v>
      </c>
      <c r="H54" s="126">
        <f>'Other Industrial Processes'!J536*N2O_to_CO2e/1000</f>
        <v>1.59</v>
      </c>
      <c r="I54" s="126">
        <f>'Other Industrial Processes'!K536*N2O_to_CO2e/1000</f>
        <v>1.59</v>
      </c>
      <c r="J54" s="126">
        <f>'Other Industrial Processes'!L536*N2O_to_CO2e/1000</f>
        <v>1.59</v>
      </c>
      <c r="K54" s="126">
        <f>'Other Industrial Processes'!M536*N2O_to_CO2e/1000</f>
        <v>1.59</v>
      </c>
      <c r="L54" s="126">
        <f>'Other Industrial Processes'!N536*N2O_to_CO2e/1000</f>
        <v>1.59</v>
      </c>
      <c r="M54" s="126">
        <f>'Other Industrial Processes'!O536*N2O_to_CO2e/1000</f>
        <v>1.59</v>
      </c>
      <c r="N54" s="126">
        <f>'Other Industrial Processes'!P536*N2O_to_CO2e/1000</f>
        <v>1.59</v>
      </c>
      <c r="O54" s="126">
        <f>'Other Industrial Processes'!Q536*N2O_to_CO2e/1000</f>
        <v>1.59</v>
      </c>
      <c r="P54" s="126">
        <f>'Other Industrial Processes'!R536*N2O_to_CO2e/1000</f>
        <v>1.59</v>
      </c>
      <c r="Q54" s="126">
        <f>'Other Industrial Processes'!S536*N2O_to_CO2e/1000</f>
        <v>1.59</v>
      </c>
      <c r="R54" s="126">
        <f>'Other Industrial Processes'!T536*N2O_to_CO2e/1000</f>
        <v>1.59</v>
      </c>
      <c r="S54" s="126">
        <f>'Other Industrial Processes'!U536*N2O_to_CO2e/1000</f>
        <v>1.59</v>
      </c>
      <c r="T54" s="126">
        <f>'Other Industrial Processes'!V536*N2O_to_CO2e/1000</f>
        <v>1.59</v>
      </c>
      <c r="U54" s="126">
        <f>'Other Industrial Processes'!W536*N2O_to_CO2e/1000</f>
        <v>1.59</v>
      </c>
      <c r="V54" s="126">
        <f>'Other Industrial Processes'!X536*N2O_to_CO2e/1000</f>
        <v>1.59</v>
      </c>
      <c r="W54" s="126">
        <f>'Other Industrial Processes'!Y536*N2O_to_CO2e/1000</f>
        <v>1.59</v>
      </c>
      <c r="X54" s="126">
        <f>'Other Industrial Processes'!Z536*N2O_to_CO2e/1000</f>
        <v>1.59</v>
      </c>
      <c r="Y54" s="126">
        <f>'Other Industrial Processes'!AA536*N2O_to_CO2e/1000</f>
        <v>1.59</v>
      </c>
      <c r="Z54" s="126">
        <f>'Other Industrial Processes'!AB536*N2O_to_CO2e/1000</f>
        <v>1.59</v>
      </c>
      <c r="AA54" s="126">
        <f>'Other Industrial Processes'!AC536*N2O_to_CO2e/1000</f>
        <v>1.59</v>
      </c>
      <c r="AB54" s="126">
        <f>'Other Industrial Processes'!AD536*N2O_to_CO2e/1000</f>
        <v>1.59</v>
      </c>
      <c r="AC54" s="126">
        <f>'Other Industrial Processes'!AE536*N2O_to_CO2e/1000</f>
        <v>1.59</v>
      </c>
      <c r="AD54" s="126">
        <f>'Other Industrial Processes'!AF536*N2O_to_CO2e/1000</f>
        <v>1.59</v>
      </c>
      <c r="AE54" s="126">
        <f>'Other Industrial Processes'!AG536*N2O_to_CO2e/1000</f>
        <v>1.59</v>
      </c>
      <c r="AF54" s="126">
        <f>'Other Industrial Processes'!AH536*N2O_to_CO2e/1000</f>
        <v>1.59</v>
      </c>
      <c r="AG54" s="126">
        <f>'Other Industrial Processes'!AI536*N2O_to_CO2e/1000</f>
        <v>1.59</v>
      </c>
      <c r="AH54" s="126">
        <f>'Other Industrial Processes'!AJ536*N2O_to_CO2e/1000</f>
        <v>1.59</v>
      </c>
      <c r="AI54" s="126">
        <f>'Other Industrial Processes'!AK536*N2O_to_CO2e/1000</f>
        <v>1.59</v>
      </c>
      <c r="AJ54" s="126">
        <f>'Other Industrial Processes'!AL536*N2O_to_CO2e/1000</f>
        <v>1.59</v>
      </c>
    </row>
    <row r="55" spans="1:36" x14ac:dyDescent="0.25">
      <c r="A55" s="334" t="s">
        <v>1593</v>
      </c>
      <c r="B55" s="126">
        <f>'Waste - Water Treatment'!B84*CH4_to_CO2e/1000</f>
        <v>6.6080000000000005</v>
      </c>
      <c r="C55" s="126">
        <f>'Waste - Water Treatment'!C84*CH4_to_CO2e/1000</f>
        <v>6.6088615384615395</v>
      </c>
      <c r="D55" s="126">
        <f>'Waste - Water Treatment'!D84*CH4_to_CO2e/1000</f>
        <v>6.6097230769230784</v>
      </c>
      <c r="E55" s="126">
        <f>'Waste - Water Treatment'!E84*CH4_to_CO2e/1000</f>
        <v>6.6105846153846173</v>
      </c>
      <c r="F55" s="126">
        <f>'Waste - Water Treatment'!F84*CH4_to_CO2e/1000</f>
        <v>6.6114461538461553</v>
      </c>
      <c r="G55" s="126">
        <f>'Waste - Water Treatment'!G84*CH4_to_CO2e/1000</f>
        <v>6.6123076923076942</v>
      </c>
      <c r="H55" s="126">
        <f>'Waste - Water Treatment'!H84*CH4_to_CO2e/1000</f>
        <v>6.6131692307692331</v>
      </c>
      <c r="I55" s="126">
        <f>'Waste - Water Treatment'!I84*CH4_to_CO2e/1000</f>
        <v>6.6140307692307712</v>
      </c>
      <c r="J55" s="126">
        <f>'Waste - Water Treatment'!J84*CH4_to_CO2e/1000</f>
        <v>6.6148923076923101</v>
      </c>
      <c r="K55" s="126">
        <f>'Waste - Water Treatment'!K84*CH4_to_CO2e/1000</f>
        <v>6.615753846153849</v>
      </c>
      <c r="L55" s="126">
        <f>'Waste - Water Treatment'!L84*CH4_to_CO2e/1000</f>
        <v>6.6166153846153879</v>
      </c>
      <c r="M55" s="126">
        <f>'Waste - Water Treatment'!M84*CH4_to_CO2e/1000</f>
        <v>6.6174769230769259</v>
      </c>
      <c r="N55" s="126">
        <f>'Waste - Water Treatment'!N84*CH4_to_CO2e/1000</f>
        <v>6.6183384615384648</v>
      </c>
      <c r="O55" s="126">
        <f>'Waste - Water Treatment'!O84*CH4_to_CO2e/1000</f>
        <v>6.6192000000000037</v>
      </c>
      <c r="P55" s="126">
        <f>'Waste - Water Treatment'!P84*CH4_to_CO2e/1000</f>
        <v>6.6200615384615418</v>
      </c>
      <c r="Q55" s="126">
        <f>'Waste - Water Treatment'!Q84*CH4_to_CO2e/1000</f>
        <v>6.6209230769230807</v>
      </c>
      <c r="R55" s="126">
        <f>'Waste - Water Treatment'!R84*CH4_to_CO2e/1000</f>
        <v>6.6217846153846196</v>
      </c>
      <c r="S55" s="126">
        <f>'Waste - Water Treatment'!S84*CH4_to_CO2e/1000</f>
        <v>6.6226461538461585</v>
      </c>
      <c r="T55" s="126">
        <f>'Waste - Water Treatment'!T84*CH4_to_CO2e/1000</f>
        <v>6.6235076923076965</v>
      </c>
      <c r="U55" s="126">
        <f>'Waste - Water Treatment'!U84*CH4_to_CO2e/1000</f>
        <v>6.6243692307692355</v>
      </c>
      <c r="V55" s="126">
        <f>'Waste - Water Treatment'!V84*CH4_to_CO2e/1000</f>
        <v>6.6252307692307744</v>
      </c>
      <c r="W55" s="126">
        <f>'Waste - Water Treatment'!W84*CH4_to_CO2e/1000</f>
        <v>6.6260923076923124</v>
      </c>
      <c r="X55" s="126">
        <f>'Waste - Water Treatment'!X84*CH4_to_CO2e/1000</f>
        <v>6.6269538461538513</v>
      </c>
      <c r="Y55" s="126">
        <f>'Waste - Water Treatment'!Y84*CH4_to_CO2e/1000</f>
        <v>6.6278153846153902</v>
      </c>
      <c r="Z55" s="126">
        <f>'Waste - Water Treatment'!Z84*CH4_to_CO2e/1000</f>
        <v>6.6286769230769291</v>
      </c>
      <c r="AA55" s="126">
        <f>'Waste - Water Treatment'!AA84*CH4_to_CO2e/1000</f>
        <v>6.6295384615384672</v>
      </c>
      <c r="AB55" s="126">
        <f>'Waste - Water Treatment'!AB84*CH4_to_CO2e/1000</f>
        <v>6.6304000000000061</v>
      </c>
      <c r="AC55" s="126">
        <f>'Waste - Water Treatment'!AC84*CH4_to_CO2e/1000</f>
        <v>6.631261538461545</v>
      </c>
      <c r="AD55" s="126">
        <f>'Waste - Water Treatment'!AD84*CH4_to_CO2e/1000</f>
        <v>6.632123076923083</v>
      </c>
      <c r="AE55" s="126">
        <f>'Waste - Water Treatment'!AE84*CH4_to_CO2e/1000</f>
        <v>6.6329846153846219</v>
      </c>
      <c r="AF55" s="126">
        <f>'Waste - Water Treatment'!AF84*CH4_to_CO2e/1000</f>
        <v>6.6338461538461608</v>
      </c>
      <c r="AG55" s="126">
        <f>'Waste - Water Treatment'!AG84*CH4_to_CO2e/1000</f>
        <v>6.6347076923076989</v>
      </c>
      <c r="AH55" s="126">
        <f>'Waste - Water Treatment'!AH84*CH4_to_CO2e/1000</f>
        <v>6.6355692307692378</v>
      </c>
      <c r="AI55" s="126">
        <f>'Waste - Water Treatment'!AI84*CH4_to_CO2e/1000</f>
        <v>6.6364307692307767</v>
      </c>
      <c r="AJ55" s="126">
        <f>'Waste - Water Treatment'!AJ84*CH4_to_CO2e/1000</f>
        <v>6.6372923076923156</v>
      </c>
    </row>
    <row r="56" spans="1:36" x14ac:dyDescent="0.25">
      <c r="A56" s="129"/>
      <c r="B56" s="126"/>
      <c r="C56" s="126"/>
      <c r="D56" s="126"/>
      <c r="E56" s="126"/>
      <c r="F56" s="126"/>
      <c r="G56" s="126"/>
      <c r="H56" s="126"/>
      <c r="I56" s="126"/>
    </row>
    <row r="57" spans="1:36" x14ac:dyDescent="0.25">
      <c r="A57" s="130" t="s">
        <v>285</v>
      </c>
      <c r="B57" s="126"/>
      <c r="C57" s="126"/>
      <c r="D57" s="126"/>
      <c r="E57" s="126"/>
      <c r="F57" s="126"/>
      <c r="G57" s="126"/>
      <c r="H57" s="126"/>
      <c r="I57" s="126"/>
    </row>
    <row r="58" spans="1:36" x14ac:dyDescent="0.25">
      <c r="A58" s="131" t="s">
        <v>841</v>
      </c>
      <c r="B58" s="125">
        <f t="shared" ref="B58:AJ58" si="11">SUM(B60,B61,B62,B65,B67)</f>
        <v>204.33030813770068</v>
      </c>
      <c r="C58" s="125">
        <f t="shared" si="11"/>
        <v>204.76879977306294</v>
      </c>
      <c r="D58" s="125">
        <f t="shared" si="11"/>
        <v>205.78283353086954</v>
      </c>
      <c r="E58" s="125">
        <f t="shared" si="11"/>
        <v>205.75947208554362</v>
      </c>
      <c r="F58" s="125">
        <f t="shared" si="11"/>
        <v>206.0220764105627</v>
      </c>
      <c r="G58" s="125">
        <f t="shared" si="11"/>
        <v>206.00682079018003</v>
      </c>
      <c r="H58" s="125">
        <f t="shared" si="11"/>
        <v>205.9896547836924</v>
      </c>
      <c r="I58" s="125">
        <f t="shared" si="11"/>
        <v>205.82156495184896</v>
      </c>
      <c r="J58" s="125">
        <f t="shared" si="11"/>
        <v>205.81963080114991</v>
      </c>
      <c r="K58" s="125">
        <f t="shared" si="11"/>
        <v>205.73879252167148</v>
      </c>
      <c r="L58" s="125">
        <f t="shared" si="11"/>
        <v>205.77048265071383</v>
      </c>
      <c r="M58" s="125">
        <f t="shared" si="11"/>
        <v>205.98269259556673</v>
      </c>
      <c r="N58" s="125">
        <f t="shared" si="11"/>
        <v>206.01873802173765</v>
      </c>
      <c r="O58" s="125">
        <f t="shared" si="11"/>
        <v>206.04647622190305</v>
      </c>
      <c r="P58" s="125">
        <f t="shared" si="11"/>
        <v>206.07544399427582</v>
      </c>
      <c r="Q58" s="125">
        <f t="shared" si="11"/>
        <v>206.10565065364528</v>
      </c>
      <c r="R58" s="125">
        <f t="shared" si="11"/>
        <v>206.13710562511068</v>
      </c>
      <c r="S58" s="125">
        <f t="shared" si="11"/>
        <v>206.16981844489339</v>
      </c>
      <c r="T58" s="125">
        <f t="shared" si="11"/>
        <v>206.2037987611597</v>
      </c>
      <c r="U58" s="125">
        <f t="shared" si="11"/>
        <v>206.23905633485577</v>
      </c>
      <c r="V58" s="125">
        <f t="shared" si="11"/>
        <v>206.27560104055328</v>
      </c>
      <c r="W58" s="125">
        <f t="shared" si="11"/>
        <v>206.31344286730663</v>
      </c>
      <c r="X58" s="125">
        <f t="shared" si="11"/>
        <v>206.35259191952144</v>
      </c>
      <c r="Y58" s="125">
        <f t="shared" si="11"/>
        <v>206.39305841783522</v>
      </c>
      <c r="Z58" s="125">
        <f t="shared" si="11"/>
        <v>206.4348527000088</v>
      </c>
      <c r="AA58" s="125">
        <f t="shared" si="11"/>
        <v>206.47798522183024</v>
      </c>
      <c r="AB58" s="125">
        <f t="shared" si="11"/>
        <v>206.52246655803003</v>
      </c>
      <c r="AC58" s="125">
        <f t="shared" si="11"/>
        <v>206.56830740320819</v>
      </c>
      <c r="AD58" s="125">
        <f t="shared" si="11"/>
        <v>206.61551857277357</v>
      </c>
      <c r="AE58" s="125">
        <f t="shared" si="11"/>
        <v>206.66411100389502</v>
      </c>
      <c r="AF58" s="125">
        <f t="shared" si="11"/>
        <v>206.71409575646436</v>
      </c>
      <c r="AG58" s="125">
        <f t="shared" si="11"/>
        <v>206.76548401407211</v>
      </c>
      <c r="AH58" s="125">
        <f t="shared" si="11"/>
        <v>206.81828708499506</v>
      </c>
      <c r="AI58" s="125">
        <f t="shared" si="11"/>
        <v>206.87251640319624</v>
      </c>
      <c r="AJ58" s="125">
        <f t="shared" si="11"/>
        <v>206.9281835293375</v>
      </c>
    </row>
    <row r="59" spans="1:36" x14ac:dyDescent="0.25">
      <c r="A59" s="131" t="s">
        <v>842</v>
      </c>
      <c r="B59" s="125">
        <f t="shared" ref="B59:AJ59" si="12">SUM(B63,B64,B66,B68)</f>
        <v>280.87661121403823</v>
      </c>
      <c r="C59" s="125">
        <f t="shared" si="12"/>
        <v>281.79497503153095</v>
      </c>
      <c r="D59" s="125">
        <f t="shared" si="12"/>
        <v>287.29890948904307</v>
      </c>
      <c r="E59" s="125">
        <f t="shared" si="12"/>
        <v>289.38675233729651</v>
      </c>
      <c r="F59" s="125">
        <f t="shared" si="12"/>
        <v>289.04090646403972</v>
      </c>
      <c r="G59" s="125">
        <f t="shared" si="12"/>
        <v>289.17945502729333</v>
      </c>
      <c r="H59" s="125">
        <f t="shared" si="12"/>
        <v>289.64137618547733</v>
      </c>
      <c r="I59" s="125">
        <f t="shared" si="12"/>
        <v>290.41559471096923</v>
      </c>
      <c r="J59" s="125">
        <f t="shared" si="12"/>
        <v>290.51041881771778</v>
      </c>
      <c r="K59" s="125">
        <f t="shared" si="12"/>
        <v>290.94603784282879</v>
      </c>
      <c r="L59" s="125">
        <f t="shared" si="12"/>
        <v>291.85535553588471</v>
      </c>
      <c r="M59" s="125">
        <f t="shared" si="12"/>
        <v>293.18859388480405</v>
      </c>
      <c r="N59" s="125">
        <f t="shared" si="12"/>
        <v>294.04415977349123</v>
      </c>
      <c r="O59" s="125">
        <f t="shared" si="12"/>
        <v>294.91107154224267</v>
      </c>
      <c r="P59" s="125">
        <f t="shared" si="12"/>
        <v>295.78947839626471</v>
      </c>
      <c r="Q59" s="125">
        <f t="shared" si="12"/>
        <v>296.67953176254036</v>
      </c>
      <c r="R59" s="125">
        <f t="shared" si="12"/>
        <v>297.58138532105454</v>
      </c>
      <c r="S59" s="125">
        <f t="shared" si="12"/>
        <v>298.49519503648992</v>
      </c>
      <c r="T59" s="125">
        <f t="shared" si="12"/>
        <v>299.42111919039371</v>
      </c>
      <c r="U59" s="125">
        <f t="shared" si="12"/>
        <v>300.35931841382836</v>
      </c>
      <c r="V59" s="125">
        <f t="shared" si="12"/>
        <v>301.30995572050887</v>
      </c>
      <c r="W59" s="125">
        <f t="shared" si="12"/>
        <v>302.27319654043526</v>
      </c>
      <c r="X59" s="125">
        <f t="shared" si="12"/>
        <v>303.24920875402711</v>
      </c>
      <c r="Y59" s="125">
        <f t="shared" si="12"/>
        <v>304.23816272676731</v>
      </c>
      <c r="Z59" s="125">
        <f t="shared" si="12"/>
        <v>305.24023134436226</v>
      </c>
      <c r="AA59" s="125">
        <f t="shared" si="12"/>
        <v>306.2555900484258</v>
      </c>
      <c r="AB59" s="125">
        <f t="shared" si="12"/>
        <v>307.28441687269429</v>
      </c>
      <c r="AC59" s="125">
        <f t="shared" si="12"/>
        <v>308.32689247978135</v>
      </c>
      <c r="AD59" s="125">
        <f t="shared" si="12"/>
        <v>309.38320019847811</v>
      </c>
      <c r="AE59" s="125">
        <f t="shared" si="12"/>
        <v>310.45352606160913</v>
      </c>
      <c r="AF59" s="125">
        <f t="shared" si="12"/>
        <v>311.53805884444967</v>
      </c>
      <c r="AG59" s="125">
        <f t="shared" si="12"/>
        <v>312.63699010371442</v>
      </c>
      <c r="AH59" s="125">
        <f t="shared" si="12"/>
        <v>313.75051421712408</v>
      </c>
      <c r="AI59" s="125">
        <f t="shared" si="12"/>
        <v>314.87882842355958</v>
      </c>
      <c r="AJ59" s="125">
        <f t="shared" si="12"/>
        <v>316.02213286381129</v>
      </c>
    </row>
    <row r="60" spans="1:36" x14ac:dyDescent="0.25">
      <c r="A60" s="118" t="s">
        <v>879</v>
      </c>
      <c r="B60" s="126">
        <f>'Agriculture - Soil Mgmt'!C44*N2O_to_CO2e/1000</f>
        <v>57.357382550335572</v>
      </c>
      <c r="C60" s="126">
        <f>'Agriculture - Soil Mgmt'!D44*N2O_to_CO2e/1000</f>
        <v>57.357382550335572</v>
      </c>
      <c r="D60" s="126">
        <f>'Agriculture - Soil Mgmt'!E44*N2O_to_CO2e/1000</f>
        <v>57.357382550335572</v>
      </c>
      <c r="E60" s="126">
        <f>'Agriculture - Soil Mgmt'!F44*N2O_to_CO2e/1000</f>
        <v>57.357382550335572</v>
      </c>
      <c r="F60" s="126">
        <f>'Agriculture - Soil Mgmt'!G44*N2O_to_CO2e/1000</f>
        <v>57.357382550335572</v>
      </c>
      <c r="G60" s="126">
        <f>'Agriculture - Soil Mgmt'!H44*N2O_to_CO2e/1000</f>
        <v>57.357382550335572</v>
      </c>
      <c r="H60" s="126">
        <f>'Agriculture - Soil Mgmt'!I44*N2O_to_CO2e/1000</f>
        <v>57.357382550335572</v>
      </c>
      <c r="I60" s="126">
        <f>'Agriculture - Soil Mgmt'!J44*N2O_to_CO2e/1000</f>
        <v>57.357382550335572</v>
      </c>
      <c r="J60" s="126">
        <f>'Agriculture - Soil Mgmt'!K44*N2O_to_CO2e/1000</f>
        <v>57.357382550335572</v>
      </c>
      <c r="K60" s="126">
        <f>'Agriculture - Soil Mgmt'!L44*N2O_to_CO2e/1000</f>
        <v>57.357382550335572</v>
      </c>
      <c r="L60" s="126">
        <f>'Agriculture - Soil Mgmt'!M44*N2O_to_CO2e/1000</f>
        <v>57.357382550335572</v>
      </c>
      <c r="M60" s="126">
        <f>'Agriculture - Soil Mgmt'!N44*N2O_to_CO2e/1000</f>
        <v>57.357382550335572</v>
      </c>
      <c r="N60" s="126">
        <f>'Agriculture - Soil Mgmt'!O44*N2O_to_CO2e/1000</f>
        <v>57.357382550335572</v>
      </c>
      <c r="O60" s="126">
        <f>'Agriculture - Soil Mgmt'!P44*N2O_to_CO2e/1000</f>
        <v>57.357382550335572</v>
      </c>
      <c r="P60" s="126">
        <f>'Agriculture - Soil Mgmt'!Q44*N2O_to_CO2e/1000</f>
        <v>57.357382550335572</v>
      </c>
      <c r="Q60" s="126">
        <f>'Agriculture - Soil Mgmt'!R44*N2O_to_CO2e/1000</f>
        <v>57.357382550335572</v>
      </c>
      <c r="R60" s="126">
        <f>'Agriculture - Soil Mgmt'!S44*N2O_to_CO2e/1000</f>
        <v>57.357382550335572</v>
      </c>
      <c r="S60" s="126">
        <f>'Agriculture - Soil Mgmt'!T44*N2O_to_CO2e/1000</f>
        <v>57.357382550335572</v>
      </c>
      <c r="T60" s="126">
        <f>'Agriculture - Soil Mgmt'!U44*N2O_to_CO2e/1000</f>
        <v>57.357382550335572</v>
      </c>
      <c r="U60" s="126">
        <f>'Agriculture - Soil Mgmt'!V44*N2O_to_CO2e/1000</f>
        <v>57.357382550335572</v>
      </c>
      <c r="V60" s="126">
        <f>'Agriculture - Soil Mgmt'!W44*N2O_to_CO2e/1000</f>
        <v>57.357382550335572</v>
      </c>
      <c r="W60" s="126">
        <f>'Agriculture - Soil Mgmt'!X44*N2O_to_CO2e/1000</f>
        <v>57.357382550335572</v>
      </c>
      <c r="X60" s="126">
        <f>'Agriculture - Soil Mgmt'!Y44*N2O_to_CO2e/1000</f>
        <v>57.357382550335572</v>
      </c>
      <c r="Y60" s="126">
        <f>'Agriculture - Soil Mgmt'!Z44*N2O_to_CO2e/1000</f>
        <v>57.357382550335572</v>
      </c>
      <c r="Z60" s="126">
        <f>'Agriculture - Soil Mgmt'!AA44*N2O_to_CO2e/1000</f>
        <v>57.357382550335572</v>
      </c>
      <c r="AA60" s="126">
        <f>'Agriculture - Soil Mgmt'!AB44*N2O_to_CO2e/1000</f>
        <v>57.357382550335572</v>
      </c>
      <c r="AB60" s="126">
        <f>'Agriculture - Soil Mgmt'!AC44*N2O_to_CO2e/1000</f>
        <v>57.357382550335572</v>
      </c>
      <c r="AC60" s="126">
        <f>'Agriculture - Soil Mgmt'!AD44*N2O_to_CO2e/1000</f>
        <v>57.357382550335572</v>
      </c>
      <c r="AD60" s="126">
        <f>'Agriculture - Soil Mgmt'!AE44*N2O_to_CO2e/1000</f>
        <v>57.357382550335572</v>
      </c>
      <c r="AE60" s="126">
        <f>'Agriculture - Soil Mgmt'!AF44*N2O_to_CO2e/1000</f>
        <v>57.357382550335572</v>
      </c>
      <c r="AF60" s="126">
        <f>'Agriculture - Soil Mgmt'!AG44*N2O_to_CO2e/1000</f>
        <v>57.357382550335572</v>
      </c>
      <c r="AG60" s="126">
        <f>'Agriculture - Soil Mgmt'!AH44*N2O_to_CO2e/1000</f>
        <v>57.357382550335572</v>
      </c>
      <c r="AH60" s="126">
        <f>'Agriculture - Soil Mgmt'!AI44*N2O_to_CO2e/1000</f>
        <v>57.357382550335572</v>
      </c>
      <c r="AI60" s="126">
        <f>'Agriculture - Soil Mgmt'!AJ44*N2O_to_CO2e/1000</f>
        <v>57.357382550335572</v>
      </c>
      <c r="AJ60" s="126">
        <f>'Agriculture - Soil Mgmt'!AK44*N2O_to_CO2e/1000</f>
        <v>57.357382550335572</v>
      </c>
    </row>
    <row r="61" spans="1:36" x14ac:dyDescent="0.25">
      <c r="A61" s="118" t="s">
        <v>880</v>
      </c>
      <c r="B61" s="126">
        <f>'Agriculture - Soil Mgmt'!B123*N2O_to_CO2e/1000</f>
        <v>38.505033557046978</v>
      </c>
      <c r="C61" s="126">
        <f>'Agriculture - Soil Mgmt'!C123*N2O_to_CO2e/1000</f>
        <v>38.163287380316348</v>
      </c>
      <c r="D61" s="126">
        <f>'Agriculture - Soil Mgmt'!D123*N2O_to_CO2e/1000</f>
        <v>38.593857022215985</v>
      </c>
      <c r="E61" s="126">
        <f>'Agriculture - Soil Mgmt'!E123*N2O_to_CO2e/1000</f>
        <v>38.462584119597267</v>
      </c>
      <c r="F61" s="126">
        <f>'Agriculture - Soil Mgmt'!F123*N2O_to_CO2e/1000</f>
        <v>38.70429175348071</v>
      </c>
      <c r="G61" s="126">
        <f>'Agriculture - Soil Mgmt'!G123*N2O_to_CO2e/1000</f>
        <v>38.739707985455247</v>
      </c>
      <c r="H61" s="126">
        <f>'Agriculture - Soil Mgmt'!H123*N2O_to_CO2e/1000</f>
        <v>38.717752844153971</v>
      </c>
      <c r="I61" s="126">
        <f>'Agriculture - Soil Mgmt'!I123*N2O_to_CO2e/1000</f>
        <v>38.603491356364572</v>
      </c>
      <c r="J61" s="126">
        <f>'Agriculture - Soil Mgmt'!J123*N2O_to_CO2e/1000</f>
        <v>38.650914078566629</v>
      </c>
      <c r="K61" s="126">
        <f>'Agriculture - Soil Mgmt'!K123*N2O_to_CO2e/1000</f>
        <v>38.578133682309151</v>
      </c>
      <c r="L61" s="126">
        <f>'Agriculture - Soil Mgmt'!L123*N2O_to_CO2e/1000</f>
        <v>38.521632404892401</v>
      </c>
      <c r="M61" s="126">
        <f>'Agriculture - Soil Mgmt'!M123*N2O_to_CO2e/1000</f>
        <v>38.536973568723333</v>
      </c>
      <c r="N61" s="126">
        <f>'Agriculture - Soil Mgmt'!N123*N2O_to_CO2e/1000</f>
        <v>38.500817713637204</v>
      </c>
      <c r="O61" s="126">
        <f>'Agriculture - Soil Mgmt'!O123*N2O_to_CO2e/1000</f>
        <v>38.457202597524628</v>
      </c>
      <c r="P61" s="126">
        <f>'Agriculture - Soil Mgmt'!P123*N2O_to_CO2e/1000</f>
        <v>38.413587481412058</v>
      </c>
      <c r="Q61" s="126">
        <f>'Agriculture - Soil Mgmt'!Q123*N2O_to_CO2e/1000</f>
        <v>38.369972365299489</v>
      </c>
      <c r="R61" s="126">
        <f>'Agriculture - Soil Mgmt'!R123*N2O_to_CO2e/1000</f>
        <v>38.326357249186906</v>
      </c>
      <c r="S61" s="126">
        <f>'Agriculture - Soil Mgmt'!S123*N2O_to_CO2e/1000</f>
        <v>38.282742133074336</v>
      </c>
      <c r="T61" s="126">
        <f>'Agriculture - Soil Mgmt'!T123*N2O_to_CO2e/1000</f>
        <v>38.239127016961774</v>
      </c>
      <c r="U61" s="126">
        <f>'Agriculture - Soil Mgmt'!U123*N2O_to_CO2e/1000</f>
        <v>38.195511900849191</v>
      </c>
      <c r="V61" s="126">
        <f>'Agriculture - Soil Mgmt'!V123*N2O_to_CO2e/1000</f>
        <v>38.151896784736621</v>
      </c>
      <c r="W61" s="126">
        <f>'Agriculture - Soil Mgmt'!W123*N2O_to_CO2e/1000</f>
        <v>38.108281668624052</v>
      </c>
      <c r="X61" s="126">
        <f>'Agriculture - Soil Mgmt'!X123*N2O_to_CO2e/1000</f>
        <v>38.064666552511483</v>
      </c>
      <c r="Y61" s="126">
        <f>'Agriculture - Soil Mgmt'!Y123*N2O_to_CO2e/1000</f>
        <v>38.021051436398906</v>
      </c>
      <c r="Z61" s="126">
        <f>'Agriculture - Soil Mgmt'!Z123*N2O_to_CO2e/1000</f>
        <v>37.977436320286337</v>
      </c>
      <c r="AA61" s="126">
        <f>'Agriculture - Soil Mgmt'!AA123*N2O_to_CO2e/1000</f>
        <v>37.933821204173753</v>
      </c>
      <c r="AB61" s="126">
        <f>'Agriculture - Soil Mgmt'!AB123*N2O_to_CO2e/1000</f>
        <v>37.890206088061191</v>
      </c>
      <c r="AC61" s="126">
        <f>'Agriculture - Soil Mgmt'!AC123*N2O_to_CO2e/1000</f>
        <v>37.846590971948615</v>
      </c>
      <c r="AD61" s="126">
        <f>'Agriculture - Soil Mgmt'!AD123*N2O_to_CO2e/1000</f>
        <v>37.802975855836038</v>
      </c>
      <c r="AE61" s="126">
        <f>'Agriculture - Soil Mgmt'!AE123*N2O_to_CO2e/1000</f>
        <v>37.759360739723483</v>
      </c>
      <c r="AF61" s="126">
        <f>'Agriculture - Soil Mgmt'!AF123*N2O_to_CO2e/1000</f>
        <v>37.715745623610914</v>
      </c>
      <c r="AG61" s="126">
        <f>'Agriculture - Soil Mgmt'!AG123*N2O_to_CO2e/1000</f>
        <v>37.672130507498323</v>
      </c>
      <c r="AH61" s="126">
        <f>'Agriculture - Soil Mgmt'!AH123*N2O_to_CO2e/1000</f>
        <v>37.628515391385754</v>
      </c>
      <c r="AI61" s="126">
        <f>'Agriculture - Soil Mgmt'!AI123*N2O_to_CO2e/1000</f>
        <v>37.584900275273192</v>
      </c>
      <c r="AJ61" s="126">
        <f>'Agriculture - Soil Mgmt'!AJ123*N2O_to_CO2e/1000</f>
        <v>37.541285159160616</v>
      </c>
    </row>
    <row r="62" spans="1:36" x14ac:dyDescent="0.25">
      <c r="A62" s="118" t="s">
        <v>843</v>
      </c>
      <c r="B62" s="126">
        <f>SUM('Agriculture - EF &amp; Manure Mgmt'!B101:B107)*N2O_to_CO2e/1000</f>
        <v>16.309784647767813</v>
      </c>
      <c r="C62" s="126">
        <f>SUM('Agriculture - EF &amp; Manure Mgmt'!C101:C107)*N2O_to_CO2e/1000</f>
        <v>16.627374344991303</v>
      </c>
      <c r="D62" s="126">
        <f>SUM('Agriculture - EF &amp; Manure Mgmt'!D101:D107)*N2O_to_CO2e/1000</f>
        <v>16.821206117592315</v>
      </c>
      <c r="E62" s="126">
        <f>SUM('Agriculture - EF &amp; Manure Mgmt'!E101:E107)*N2O_to_CO2e/1000</f>
        <v>16.928031070934537</v>
      </c>
      <c r="F62" s="126">
        <f>SUM('Agriculture - EF &amp; Manure Mgmt'!F101:F107)*N2O_to_CO2e/1000</f>
        <v>16.996242541092457</v>
      </c>
      <c r="G62" s="126">
        <f>SUM('Agriculture - EF &amp; Manure Mgmt'!G101:G107)*N2O_to_CO2e/1000</f>
        <v>17.040279760013085</v>
      </c>
      <c r="H62" s="126">
        <f>SUM('Agriculture - EF &amp; Manure Mgmt'!H101:H107)*N2O_to_CO2e/1000</f>
        <v>17.102904109216428</v>
      </c>
      <c r="I62" s="126">
        <f>SUM('Agriculture - EF &amp; Manure Mgmt'!I101:I107)*N2O_to_CO2e/1000</f>
        <v>17.154247081304394</v>
      </c>
      <c r="J62" s="126">
        <f>SUM('Agriculture - EF &amp; Manure Mgmt'!J101:J107)*N2O_to_CO2e/1000</f>
        <v>17.196265380635904</v>
      </c>
      <c r="K62" s="126">
        <f>SUM('Agriculture - EF &amp; Manure Mgmt'!K101:K107)*N2O_to_CO2e/1000</f>
        <v>17.253313349409908</v>
      </c>
      <c r="L62" s="126">
        <f>SUM('Agriculture - EF &amp; Manure Mgmt'!L101:L107)*N2O_to_CO2e/1000</f>
        <v>17.33042473662848</v>
      </c>
      <c r="M62" s="126">
        <f>SUM('Agriculture - EF &amp; Manure Mgmt'!M101:M107)*N2O_to_CO2e/1000</f>
        <v>17.432365969323829</v>
      </c>
      <c r="N62" s="126">
        <f>SUM('Agriculture - EF &amp; Manure Mgmt'!N101:N107)*N2O_to_CO2e/1000</f>
        <v>17.519399091768612</v>
      </c>
      <c r="O62" s="126">
        <f>SUM('Agriculture - EF &amp; Manure Mgmt'!O101:O107)*N2O_to_CO2e/1000</f>
        <v>17.607449964423104</v>
      </c>
      <c r="P62" s="126">
        <f>SUM('Agriculture - EF &amp; Manure Mgmt'!P101:P107)*N2O_to_CO2e/1000</f>
        <v>17.696527752797675</v>
      </c>
      <c r="Q62" s="126">
        <f>SUM('Agriculture - EF &amp; Manure Mgmt'!Q101:Q107)*N2O_to_CO2e/1000</f>
        <v>17.786641721161779</v>
      </c>
      <c r="R62" s="126">
        <f>SUM('Agriculture - EF &amp; Manure Mgmt'!R101:R107)*N2O_to_CO2e/1000</f>
        <v>17.877801233415525</v>
      </c>
      <c r="S62" s="126">
        <f>SUM('Agriculture - EF &amp; Manure Mgmt'!S101:S107)*N2O_to_CO2e/1000</f>
        <v>17.970015753971079</v>
      </c>
      <c r="T62" s="126">
        <f>SUM('Agriculture - EF &amp; Manure Mgmt'!T101:T107)*N2O_to_CO2e/1000</f>
        <v>18.063294848643899</v>
      </c>
      <c r="U62" s="126">
        <f>SUM('Agriculture - EF &amp; Manure Mgmt'!U101:U107)*N2O_to_CO2e/1000</f>
        <v>18.157648185553914</v>
      </c>
      <c r="V62" s="126">
        <f>SUM('Agriculture - EF &amp; Manure Mgmt'!V101:V107)*N2O_to_CO2e/1000</f>
        <v>18.253085536036757</v>
      </c>
      <c r="W62" s="126">
        <f>SUM('Agriculture - EF &amp; Manure Mgmt'!W101:W107)*N2O_to_CO2e/1000</f>
        <v>18.349616775565078</v>
      </c>
      <c r="X62" s="126">
        <f>SUM('Agriculture - EF &amp; Manure Mgmt'!X101:X107)*N2O_to_CO2e/1000</f>
        <v>18.447251884680085</v>
      </c>
      <c r="Y62" s="126">
        <f>SUM('Agriculture - EF &amp; Manure Mgmt'!Y101:Y107)*N2O_to_CO2e/1000</f>
        <v>18.546000949933379</v>
      </c>
      <c r="Z62" s="126">
        <f>SUM('Agriculture - EF &amp; Manure Mgmt'!Z101:Z107)*N2O_to_CO2e/1000</f>
        <v>18.64587416483911</v>
      </c>
      <c r="AA62" s="126">
        <f>SUM('Agriculture - EF &amp; Manure Mgmt'!AA101:AA107)*N2O_to_CO2e/1000</f>
        <v>18.746881830836685</v>
      </c>
      <c r="AB62" s="126">
        <f>SUM('Agriculture - EF &amp; Manure Mgmt'!AB101:AB107)*N2O_to_CO2e/1000</f>
        <v>18.849034358263943</v>
      </c>
      <c r="AC62" s="126">
        <f>SUM('Agriculture - EF &amp; Manure Mgmt'!AC101:AC107)*N2O_to_CO2e/1000</f>
        <v>18.952342267341034</v>
      </c>
      <c r="AD62" s="126">
        <f>SUM('Agriculture - EF &amp; Manure Mgmt'!AD101:AD107)*N2O_to_CO2e/1000</f>
        <v>19.056816189165012</v>
      </c>
      <c r="AE62" s="126">
        <f>SUM('Agriculture - EF &amp; Manure Mgmt'!AE101:AE107)*N2O_to_CO2e/1000</f>
        <v>19.162466866715274</v>
      </c>
      <c r="AF62" s="126">
        <f>SUM('Agriculture - EF &amp; Manure Mgmt'!AF101:AF107)*N2O_to_CO2e/1000</f>
        <v>19.269305155869919</v>
      </c>
      <c r="AG62" s="126">
        <f>SUM('Agriculture - EF &amp; Manure Mgmt'!AG101:AG107)*N2O_to_CO2e/1000</f>
        <v>19.377342026433109</v>
      </c>
      <c r="AH62" s="126">
        <f>SUM('Agriculture - EF &amp; Manure Mgmt'!AH101:AH107)*N2O_to_CO2e/1000</f>
        <v>19.486588563173584</v>
      </c>
      <c r="AI62" s="126">
        <f>SUM('Agriculture - EF &amp; Manure Mgmt'!AI101:AI107)*N2O_to_CO2e/1000</f>
        <v>19.597055966874372</v>
      </c>
      <c r="AJ62" s="126">
        <f>SUM('Agriculture - EF &amp; Manure Mgmt'!AJ101:AJ107)*N2O_to_CO2e/1000</f>
        <v>19.708755555393807</v>
      </c>
    </row>
    <row r="63" spans="1:36" x14ac:dyDescent="0.25">
      <c r="A63" s="118" t="s">
        <v>844</v>
      </c>
      <c r="B63" s="126">
        <f>'Agriculture - Rice Cultivation'!B16*CH4_to_CO2e/1000</f>
        <v>15.451716057891106</v>
      </c>
      <c r="C63" s="126">
        <f>'Agriculture - Rice Cultivation'!C16*CH4_to_CO2e/1000</f>
        <v>11.962618883528599</v>
      </c>
      <c r="D63" s="126">
        <f>'Agriculture - Rice Cultivation'!D16*CH4_to_CO2e/1000</f>
        <v>14.45483115093039</v>
      </c>
      <c r="E63" s="126">
        <f>'Agriculture - Rice Cultivation'!E16*CH4_to_CO2e/1000</f>
        <v>13.956388697450031</v>
      </c>
      <c r="F63" s="126">
        <f>'Agriculture - Rice Cultivation'!F16*CH4_to_CO2e/1000</f>
        <v>13.956388697450031</v>
      </c>
      <c r="G63" s="126">
        <f>'Agriculture - Rice Cultivation'!G16*CH4_to_CO2e/1000</f>
        <v>13.956388697450031</v>
      </c>
      <c r="H63" s="126">
        <f>'Agriculture - Rice Cultivation'!H16*CH4_to_CO2e/1000</f>
        <v>13.956388697450031</v>
      </c>
      <c r="I63" s="126">
        <f>'Agriculture - Rice Cultivation'!I16*CH4_to_CO2e/1000</f>
        <v>14.45483115093039</v>
      </c>
      <c r="J63" s="126">
        <f>'Agriculture - Rice Cultivation'!J16*CH4_to_CO2e/1000</f>
        <v>14.45483115093039</v>
      </c>
      <c r="K63" s="126">
        <f>'Agriculture - Rice Cultivation'!K16*CH4_to_CO2e/1000</f>
        <v>14.45483115093039</v>
      </c>
      <c r="L63" s="126">
        <f>'Agriculture - Rice Cultivation'!L16*CH4_to_CO2e/1000</f>
        <v>14.45483115093039</v>
      </c>
      <c r="M63" s="126">
        <f>'Agriculture - Rice Cultivation'!M16*CH4_to_CO2e/1000</f>
        <v>14.45483115093039</v>
      </c>
      <c r="N63" s="126">
        <f>'Agriculture - Rice Cultivation'!N16*CH4_to_CO2e/1000</f>
        <v>14.45483115093039</v>
      </c>
      <c r="O63" s="126">
        <f>'Agriculture - Rice Cultivation'!O16*CH4_to_CO2e/1000</f>
        <v>14.45483115093039</v>
      </c>
      <c r="P63" s="126">
        <f>'Agriculture - Rice Cultivation'!P16*CH4_to_CO2e/1000</f>
        <v>14.45483115093039</v>
      </c>
      <c r="Q63" s="126">
        <f>'Agriculture - Rice Cultivation'!Q16*CH4_to_CO2e/1000</f>
        <v>14.45483115093039</v>
      </c>
      <c r="R63" s="126">
        <f>'Agriculture - Rice Cultivation'!R16*CH4_to_CO2e/1000</f>
        <v>14.45483115093039</v>
      </c>
      <c r="S63" s="126">
        <f>'Agriculture - Rice Cultivation'!S16*CH4_to_CO2e/1000</f>
        <v>14.45483115093039</v>
      </c>
      <c r="T63" s="126">
        <f>'Agriculture - Rice Cultivation'!T16*CH4_to_CO2e/1000</f>
        <v>14.45483115093039</v>
      </c>
      <c r="U63" s="126">
        <f>'Agriculture - Rice Cultivation'!U16*CH4_to_CO2e/1000</f>
        <v>14.45483115093039</v>
      </c>
      <c r="V63" s="126">
        <f>'Agriculture - Rice Cultivation'!V16*CH4_to_CO2e/1000</f>
        <v>14.45483115093039</v>
      </c>
      <c r="W63" s="126">
        <f>'Agriculture - Rice Cultivation'!W16*CH4_to_CO2e/1000</f>
        <v>14.45483115093039</v>
      </c>
      <c r="X63" s="126">
        <f>'Agriculture - Rice Cultivation'!X16*CH4_to_CO2e/1000</f>
        <v>14.45483115093039</v>
      </c>
      <c r="Y63" s="126">
        <f>'Agriculture - Rice Cultivation'!Y16*CH4_to_CO2e/1000</f>
        <v>14.45483115093039</v>
      </c>
      <c r="Z63" s="126">
        <f>'Agriculture - Rice Cultivation'!Z16*CH4_to_CO2e/1000</f>
        <v>14.45483115093039</v>
      </c>
      <c r="AA63" s="126">
        <f>'Agriculture - Rice Cultivation'!AA16*CH4_to_CO2e/1000</f>
        <v>14.45483115093039</v>
      </c>
      <c r="AB63" s="126">
        <f>'Agriculture - Rice Cultivation'!AB16*CH4_to_CO2e/1000</f>
        <v>14.45483115093039</v>
      </c>
      <c r="AC63" s="126">
        <f>'Agriculture - Rice Cultivation'!AC16*CH4_to_CO2e/1000</f>
        <v>14.45483115093039</v>
      </c>
      <c r="AD63" s="126">
        <f>'Agriculture - Rice Cultivation'!AD16*CH4_to_CO2e/1000</f>
        <v>14.45483115093039</v>
      </c>
      <c r="AE63" s="126">
        <f>'Agriculture - Rice Cultivation'!AE16*CH4_to_CO2e/1000</f>
        <v>14.45483115093039</v>
      </c>
      <c r="AF63" s="126">
        <f>'Agriculture - Rice Cultivation'!AF16*CH4_to_CO2e/1000</f>
        <v>14.45483115093039</v>
      </c>
      <c r="AG63" s="126">
        <f>'Agriculture - Rice Cultivation'!AG16*CH4_to_CO2e/1000</f>
        <v>14.45483115093039</v>
      </c>
      <c r="AH63" s="126">
        <f>'Agriculture - Rice Cultivation'!AH16*CH4_to_CO2e/1000</f>
        <v>14.45483115093039</v>
      </c>
      <c r="AI63" s="126">
        <f>'Agriculture - Rice Cultivation'!AI16*CH4_to_CO2e/1000</f>
        <v>14.45483115093039</v>
      </c>
      <c r="AJ63" s="126">
        <f>'Agriculture - Rice Cultivation'!AJ16*CH4_to_CO2e/1000</f>
        <v>14.45483115093039</v>
      </c>
    </row>
    <row r="64" spans="1:36" x14ac:dyDescent="0.25">
      <c r="A64" s="118" t="s">
        <v>845</v>
      </c>
      <c r="B64" s="126">
        <f>SUM('Agriculture - EF &amp; Manure Mgmt'!C29:C36)*CH4_to_CO2e/1000</f>
        <v>188.91656781715992</v>
      </c>
      <c r="C64" s="126">
        <f>SUM('Agriculture - EF &amp; Manure Mgmt'!D29:D36)*CH4_to_CO2e/1000</f>
        <v>191.51893596356084</v>
      </c>
      <c r="D64" s="126">
        <f>SUM('Agriculture - EF &amp; Manure Mgmt'!E29:E36)*CH4_to_CO2e/1000</f>
        <v>193.66881213921906</v>
      </c>
      <c r="E64" s="126">
        <f>SUM('Agriculture - EF &amp; Manure Mgmt'!F29:F36)*CH4_to_CO2e/1000</f>
        <v>195.54470012015881</v>
      </c>
      <c r="F64" s="126">
        <f>SUM('Agriculture - EF &amp; Manure Mgmt'!G29:G36)*CH4_to_CO2e/1000</f>
        <v>194.54926666742978</v>
      </c>
      <c r="G64" s="126">
        <f>SUM('Agriculture - EF &amp; Manure Mgmt'!H29:H36)*CH4_to_CO2e/1000</f>
        <v>194.17169816199282</v>
      </c>
      <c r="H64" s="126">
        <f>SUM('Agriculture - EF &amp; Manure Mgmt'!I29:I36)*CH4_to_CO2e/1000</f>
        <v>194.09002466752443</v>
      </c>
      <c r="I64" s="126">
        <f>SUM('Agriculture - EF &amp; Manure Mgmt'!J29:J36)*CH4_to_CO2e/1000</f>
        <v>193.83630897554517</v>
      </c>
      <c r="J64" s="126">
        <f>SUM('Agriculture - EF &amp; Manure Mgmt'!K29:K36)*CH4_to_CO2e/1000</f>
        <v>193.36965004502377</v>
      </c>
      <c r="K64" s="126">
        <f>SUM('Agriculture - EF &amp; Manure Mgmt'!L29:L36)*CH4_to_CO2e/1000</f>
        <v>193.26216179976407</v>
      </c>
      <c r="L64" s="126">
        <f>SUM('Agriculture - EF &amp; Manure Mgmt'!M29:M36)*CH4_to_CO2e/1000</f>
        <v>193.61440700925411</v>
      </c>
      <c r="M64" s="126">
        <f>SUM('Agriculture - EF &amp; Manure Mgmt'!N29:N36)*CH4_to_CO2e/1000</f>
        <v>194.35677468831472</v>
      </c>
      <c r="N64" s="126">
        <f>SUM('Agriculture - EF &amp; Manure Mgmt'!O29:O36)*CH4_to_CO2e/1000</f>
        <v>194.54519204631151</v>
      </c>
      <c r="O64" s="126">
        <f>SUM('Agriculture - EF &amp; Manure Mgmt'!P29:P36)*CH4_to_CO2e/1000</f>
        <v>194.73440986834271</v>
      </c>
      <c r="P64" s="126">
        <f>SUM('Agriculture - EF &amp; Manure Mgmt'!Q29:Q36)*CH4_to_CO2e/1000</f>
        <v>194.92442753456243</v>
      </c>
      <c r="Q64" s="126">
        <f>SUM('Agriculture - EF &amp; Manure Mgmt'!R29:R36)*CH4_to_CO2e/1000</f>
        <v>195.11524446666786</v>
      </c>
      <c r="R64" s="126">
        <f>SUM('Agriculture - EF &amp; Manure Mgmt'!S29:S36)*CH4_to_CO2e/1000</f>
        <v>195.30686012749266</v>
      </c>
      <c r="S64" s="126">
        <f>SUM('Agriculture - EF &amp; Manure Mgmt'!T29:T36)*CH4_to_CO2e/1000</f>
        <v>195.49927402060666</v>
      </c>
      <c r="T64" s="126">
        <f>SUM('Agriculture - EF &amp; Manure Mgmt'!U29:U36)*CH4_to_CO2e/1000</f>
        <v>195.69248568992029</v>
      </c>
      <c r="U64" s="126">
        <f>SUM('Agriculture - EF &amp; Manure Mgmt'!V29:V36)*CH4_to_CO2e/1000</f>
        <v>195.88649471929554</v>
      </c>
      <c r="V64" s="126">
        <f>SUM('Agriculture - EF &amp; Manure Mgmt'!W29:W36)*CH4_to_CO2e/1000</f>
        <v>196.08130073216233</v>
      </c>
      <c r="W64" s="126">
        <f>SUM('Agriculture - EF &amp; Manure Mgmt'!X29:X36)*CH4_to_CO2e/1000</f>
        <v>196.27690339114</v>
      </c>
      <c r="X64" s="126">
        <f>SUM('Agriculture - EF &amp; Manure Mgmt'!Y29:Y36)*CH4_to_CO2e/1000</f>
        <v>196.47330239766441</v>
      </c>
      <c r="Y64" s="126">
        <f>SUM('Agriculture - EF &amp; Manure Mgmt'!Z29:Z36)*CH4_to_CO2e/1000</f>
        <v>196.67049749162075</v>
      </c>
      <c r="Z64" s="126">
        <f>SUM('Agriculture - EF &amp; Manure Mgmt'!AA29:AA36)*CH4_to_CO2e/1000</f>
        <v>196.86848845098103</v>
      </c>
      <c r="AA64" s="126">
        <f>SUM('Agriculture - EF &amp; Manure Mgmt'!AB29:AB36)*CH4_to_CO2e/1000</f>
        <v>197.06727509144741</v>
      </c>
      <c r="AB64" s="126">
        <f>SUM('Agriculture - EF &amp; Manure Mgmt'!AC29:AC36)*CH4_to_CO2e/1000</f>
        <v>197.26685726610009</v>
      </c>
      <c r="AC64" s="126">
        <f>SUM('Agriculture - EF &amp; Manure Mgmt'!AD29:AD36)*CH4_to_CO2e/1000</f>
        <v>197.4672348650509</v>
      </c>
      <c r="AD64" s="126">
        <f>SUM('Agriculture - EF &amp; Manure Mgmt'!AE29:AE36)*CH4_to_CO2e/1000</f>
        <v>197.66840781510146</v>
      </c>
      <c r="AE64" s="126">
        <f>SUM('Agriculture - EF &amp; Manure Mgmt'!AF29:AF36)*CH4_to_CO2e/1000</f>
        <v>197.87037607940641</v>
      </c>
      <c r="AF64" s="126">
        <f>SUM('Agriculture - EF &amp; Manure Mgmt'!AG29:AG36)*CH4_to_CO2e/1000</f>
        <v>198.07313965714187</v>
      </c>
      <c r="AG64" s="126">
        <f>SUM('Agriculture - EF &amp; Manure Mgmt'!AH29:AH36)*CH4_to_CO2e/1000</f>
        <v>198.27669858317822</v>
      </c>
      <c r="AH64" s="126">
        <f>SUM('Agriculture - EF &amp; Manure Mgmt'!AI29:AI36)*CH4_to_CO2e/1000</f>
        <v>198.48105292775799</v>
      </c>
      <c r="AI64" s="126">
        <f>SUM('Agriculture - EF &amp; Manure Mgmt'!AJ29:AJ36)*CH4_to_CO2e/1000</f>
        <v>198.68620279617869</v>
      </c>
      <c r="AJ64" s="126">
        <f>SUM('Agriculture - EF &amp; Manure Mgmt'!AK29:AK36)*CH4_to_CO2e/1000</f>
        <v>198.89214832847955</v>
      </c>
    </row>
    <row r="65" spans="1:36" x14ac:dyDescent="0.25">
      <c r="A65" s="118" t="s">
        <v>881</v>
      </c>
      <c r="B65" s="126">
        <f>'Agriculture - Soil Mgmt'!B148*N2O_to_CO2e/1000</f>
        <v>24.098993288590602</v>
      </c>
      <c r="C65" s="126">
        <f>'Agriculture - Soil Mgmt'!C148*N2O_to_CO2e/1000</f>
        <v>24.535394969764383</v>
      </c>
      <c r="D65" s="126">
        <f>'Agriculture - Soil Mgmt'!D148*N2O_to_CO2e/1000</f>
        <v>24.746970804191292</v>
      </c>
      <c r="E65" s="126">
        <f>'Agriculture - Soil Mgmt'!E148*N2O_to_CO2e/1000</f>
        <v>24.776319292468301</v>
      </c>
      <c r="F65" s="126">
        <f>'Agriculture - Soil Mgmt'!F148*N2O_to_CO2e/1000</f>
        <v>24.686804038792275</v>
      </c>
      <c r="G65" s="126">
        <f>'Agriculture - Soil Mgmt'!G148*N2O_to_CO2e/1000</f>
        <v>24.604966767581143</v>
      </c>
      <c r="H65" s="126">
        <f>'Agriculture - Soil Mgmt'!H148*N2O_to_CO2e/1000</f>
        <v>24.564453130598977</v>
      </c>
      <c r="I65" s="126">
        <f>'Agriculture - Soil Mgmt'!I148*N2O_to_CO2e/1000</f>
        <v>24.506918176848568</v>
      </c>
      <c r="J65" s="126">
        <f>'Agriculture - Soil Mgmt'!J148*N2O_to_CO2e/1000</f>
        <v>24.425084580898748</v>
      </c>
      <c r="K65" s="126">
        <f>'Agriculture - Soil Mgmt'!K148*N2O_to_CO2e/1000</f>
        <v>24.389912262873576</v>
      </c>
      <c r="L65" s="126">
        <f>'Agriculture - Soil Mgmt'!L148*N2O_to_CO2e/1000</f>
        <v>24.41085271991556</v>
      </c>
      <c r="M65" s="126">
        <f>'Agriculture - Soil Mgmt'!M148*N2O_to_CO2e/1000</f>
        <v>24.481842186794584</v>
      </c>
      <c r="N65" s="126">
        <f>'Agriculture - Soil Mgmt'!N148*N2O_to_CO2e/1000</f>
        <v>24.478079193717502</v>
      </c>
      <c r="O65" s="126">
        <f>'Agriculture - Soil Mgmt'!O148*N2O_to_CO2e/1000</f>
        <v>24.474474831576373</v>
      </c>
      <c r="P65" s="126">
        <f>'Agriculture - Soil Mgmt'!P148*N2O_to_CO2e/1000</f>
        <v>24.471029131507439</v>
      </c>
      <c r="Q65" s="126">
        <f>'Agriculture - Soil Mgmt'!Q148*N2O_to_CO2e/1000</f>
        <v>24.467742133063254</v>
      </c>
      <c r="R65" s="126">
        <f>'Agriculture - Soil Mgmt'!R148*N2O_to_CO2e/1000</f>
        <v>24.464613884157323</v>
      </c>
      <c r="S65" s="126">
        <f>'Agriculture - Soil Mgmt'!S148*N2O_to_CO2e/1000</f>
        <v>24.461644441009806</v>
      </c>
      <c r="T65" s="126">
        <f>'Agriculture - Soil Mgmt'!T148*N2O_to_CO2e/1000</f>
        <v>24.458833868094224</v>
      </c>
      <c r="U65" s="126">
        <f>'Agriculture - Soil Mgmt'!U148*N2O_to_CO2e/1000</f>
        <v>24.456182238085265</v>
      </c>
      <c r="V65" s="126">
        <f>'Agriculture - Soil Mgmt'!V148*N2O_to_CO2e/1000</f>
        <v>24.453689631807581</v>
      </c>
      <c r="W65" s="126">
        <f>'Agriculture - Soil Mgmt'!W148*N2O_to_CO2e/1000</f>
        <v>24.451356138185574</v>
      </c>
      <c r="X65" s="126">
        <f>'Agriculture - Soil Mgmt'!X148*N2O_to_CO2e/1000</f>
        <v>24.449181854194194</v>
      </c>
      <c r="Y65" s="126">
        <f>'Agriculture - Soil Mgmt'!Y148*N2O_to_CO2e/1000</f>
        <v>24.447166884810759</v>
      </c>
      <c r="Z65" s="126">
        <f>'Agriculture - Soil Mgmt'!Z148*N2O_to_CO2e/1000</f>
        <v>24.445311342967695</v>
      </c>
      <c r="AA65" s="126">
        <f>'Agriculture - Soil Mgmt'!AA148*N2O_to_CO2e/1000</f>
        <v>24.443615349506302</v>
      </c>
      <c r="AB65" s="126">
        <f>'Agriculture - Soil Mgmt'!AB148*N2O_to_CO2e/1000</f>
        <v>24.442079033131417</v>
      </c>
      <c r="AC65" s="126">
        <f>'Agriculture - Soil Mgmt'!AC148*N2O_to_CO2e/1000</f>
        <v>24.440702530367073</v>
      </c>
      <c r="AD65" s="126">
        <f>'Agriculture - Soil Mgmt'!AD148*N2O_to_CO2e/1000</f>
        <v>24.439485985513073</v>
      </c>
      <c r="AE65" s="126">
        <f>'Agriculture - Soil Mgmt'!AE148*N2O_to_CO2e/1000</f>
        <v>24.438429550602478</v>
      </c>
      <c r="AF65" s="126">
        <f>'Agriculture - Soil Mgmt'!AF148*N2O_to_CO2e/1000</f>
        <v>24.437533385360055</v>
      </c>
      <c r="AG65" s="126">
        <f>'Agriculture - Soil Mgmt'!AG148*N2O_to_CO2e/1000</f>
        <v>24.43679765716152</v>
      </c>
      <c r="AH65" s="126">
        <f>'Agriculture - Soil Mgmt'!AH148*N2O_to_CO2e/1000</f>
        <v>24.436222540993903</v>
      </c>
      <c r="AI65" s="126">
        <f>'Agriculture - Soil Mgmt'!AI148*N2O_to_CO2e/1000</f>
        <v>24.435808219416455</v>
      </c>
      <c r="AJ65" s="126">
        <f>'Agriculture - Soil Mgmt'!AJ148*N2O_to_CO2e/1000</f>
        <v>24.435554882522844</v>
      </c>
    </row>
    <row r="66" spans="1:36" x14ac:dyDescent="0.25">
      <c r="A66" s="118" t="s">
        <v>846</v>
      </c>
      <c r="B66" s="126">
        <f>SUM('Agriculture - EF &amp; Manure Mgmt'!B91:B97)*CH4_to_CO2e/1000</f>
        <v>76.200327338987194</v>
      </c>
      <c r="C66" s="126">
        <f>SUM('Agriculture - EF &amp; Manure Mgmt'!C91:C97)*CH4_to_CO2e/1000</f>
        <v>78.005420184441533</v>
      </c>
      <c r="D66" s="126">
        <f>SUM('Agriculture - EF &amp; Manure Mgmt'!D91:D97)*CH4_to_CO2e/1000</f>
        <v>78.867266198893617</v>
      </c>
      <c r="E66" s="126">
        <f>SUM('Agriculture - EF &amp; Manure Mgmt'!E91:E97)*CH4_to_CO2e/1000</f>
        <v>79.577663519687704</v>
      </c>
      <c r="F66" s="126">
        <f>SUM('Agriculture - EF &amp; Manure Mgmt'!F91:F97)*CH4_to_CO2e/1000</f>
        <v>80.227251099159915</v>
      </c>
      <c r="G66" s="126">
        <f>SUM('Agriculture - EF &amp; Manure Mgmt'!G91:G97)*CH4_to_CO2e/1000</f>
        <v>80.74336816785052</v>
      </c>
      <c r="H66" s="126">
        <f>SUM('Agriculture - EF &amp; Manure Mgmt'!H91:H97)*CH4_to_CO2e/1000</f>
        <v>81.286962820502879</v>
      </c>
      <c r="I66" s="126">
        <f>SUM('Agriculture - EF &amp; Manure Mgmt'!I91:I97)*CH4_to_CO2e/1000</f>
        <v>81.816454584493698</v>
      </c>
      <c r="J66" s="126">
        <f>SUM('Agriculture - EF &amp; Manure Mgmt'!J91:J97)*CH4_to_CO2e/1000</f>
        <v>82.377937621763593</v>
      </c>
      <c r="K66" s="126">
        <f>SUM('Agriculture - EF &amp; Manure Mgmt'!K91:K97)*CH4_to_CO2e/1000</f>
        <v>82.92104489213429</v>
      </c>
      <c r="L66" s="126">
        <f>SUM('Agriculture - EF &amp; Manure Mgmt'!L91:L97)*CH4_to_CO2e/1000</f>
        <v>83.478117375700194</v>
      </c>
      <c r="M66" s="126">
        <f>SUM('Agriculture - EF &amp; Manure Mgmt'!M91:M97)*CH4_to_CO2e/1000</f>
        <v>84.068988045558925</v>
      </c>
      <c r="N66" s="126">
        <f>SUM('Agriculture - EF &amp; Manure Mgmt'!N91:N97)*CH4_to_CO2e/1000</f>
        <v>84.736136576249322</v>
      </c>
      <c r="O66" s="126">
        <f>SUM('Agriculture - EF &amp; Manure Mgmt'!O91:O97)*CH4_to_CO2e/1000</f>
        <v>85.413830522969533</v>
      </c>
      <c r="P66" s="126">
        <f>SUM('Agriculture - EF &amp; Manure Mgmt'!P91:P97)*CH4_to_CO2e/1000</f>
        <v>86.102219710771905</v>
      </c>
      <c r="Q66" s="126">
        <f>SUM('Agriculture - EF &amp; Manure Mgmt'!Q91:Q97)*CH4_to_CO2e/1000</f>
        <v>86.80145614494208</v>
      </c>
      <c r="R66" s="126">
        <f>SUM('Agriculture - EF &amp; Manure Mgmt'!R91:R97)*CH4_to_CO2e/1000</f>
        <v>87.511694042631504</v>
      </c>
      <c r="S66" s="126">
        <f>SUM('Agriculture - EF &amp; Manure Mgmt'!S91:S97)*CH4_to_CO2e/1000</f>
        <v>88.233089864952859</v>
      </c>
      <c r="T66" s="126">
        <f>SUM('Agriculture - EF &amp; Manure Mgmt'!T91:T97)*CH4_to_CO2e/1000</f>
        <v>88.965802349543011</v>
      </c>
      <c r="U66" s="126">
        <f>SUM('Agriculture - EF &amp; Manure Mgmt'!U91:U97)*CH4_to_CO2e/1000</f>
        <v>89.709992543602425</v>
      </c>
      <c r="V66" s="126">
        <f>SUM('Agriculture - EF &amp; Manure Mgmt'!V91:V97)*CH4_to_CO2e/1000</f>
        <v>90.465823837416124</v>
      </c>
      <c r="W66" s="126">
        <f>SUM('Agriculture - EF &amp; Manure Mgmt'!W91:W97)*CH4_to_CO2e/1000</f>
        <v>91.233461998364859</v>
      </c>
      <c r="X66" s="126">
        <f>SUM('Agriculture - EF &amp; Manure Mgmt'!X91:X97)*CH4_to_CO2e/1000</f>
        <v>92.013075205432273</v>
      </c>
      <c r="Y66" s="126">
        <f>SUM('Agriculture - EF &amp; Manure Mgmt'!Y91:Y97)*CH4_to_CO2e/1000</f>
        <v>92.804834084216154</v>
      </c>
      <c r="Z66" s="126">
        <f>SUM('Agriculture - EF &amp; Manure Mgmt'!Z91:Z97)*CH4_to_CO2e/1000</f>
        <v>93.608911742450815</v>
      </c>
      <c r="AA66" s="126">
        <f>SUM('Agriculture - EF &amp; Manure Mgmt'!AA91:AA97)*CH4_to_CO2e/1000</f>
        <v>94.425483806047964</v>
      </c>
      <c r="AB66" s="126">
        <f>SUM('Agriculture - EF &amp; Manure Mgmt'!AB91:AB97)*CH4_to_CO2e/1000</f>
        <v>95.254728455663809</v>
      </c>
      <c r="AC66" s="126">
        <f>SUM('Agriculture - EF &amp; Manure Mgmt'!AC91:AC97)*CH4_to_CO2e/1000</f>
        <v>96.096826463800042</v>
      </c>
      <c r="AD66" s="126">
        <f>SUM('Agriculture - EF &amp; Manure Mgmt'!AD91:AD97)*CH4_to_CO2e/1000</f>
        <v>96.95196123244628</v>
      </c>
      <c r="AE66" s="126">
        <f>SUM('Agriculture - EF &amp; Manure Mgmt'!AE91:AE97)*CH4_to_CO2e/1000</f>
        <v>97.820318831272303</v>
      </c>
      <c r="AF66" s="126">
        <f>SUM('Agriculture - EF &amp; Manure Mgmt'!AF91:AF97)*CH4_to_CO2e/1000</f>
        <v>98.702088036377432</v>
      </c>
      <c r="AG66" s="126">
        <f>SUM('Agriculture - EF &amp; Manure Mgmt'!AG91:AG97)*CH4_to_CO2e/1000</f>
        <v>99.597460369605827</v>
      </c>
      <c r="AH66" s="126">
        <f>SUM('Agriculture - EF &amp; Manure Mgmt'!AH91:AH97)*CH4_to_CO2e/1000</f>
        <v>100.50663013843568</v>
      </c>
      <c r="AI66" s="126">
        <f>SUM('Agriculture - EF &amp; Manure Mgmt'!AI91:AI97)*CH4_to_CO2e/1000</f>
        <v>101.42979447645051</v>
      </c>
      <c r="AJ66" s="126">
        <f>SUM('Agriculture - EF &amp; Manure Mgmt'!AJ91:AJ97)*CH4_to_CO2e/1000</f>
        <v>102.36715338440136</v>
      </c>
    </row>
    <row r="67" spans="1:36" x14ac:dyDescent="0.25">
      <c r="A67" s="118" t="s">
        <v>882</v>
      </c>
      <c r="B67" s="126">
        <f>SUM('Agriculture - Soil Mgmt'!B156:B157)*N2O_to_CO2e/1000</f>
        <v>68.059114093959735</v>
      </c>
      <c r="C67" s="126">
        <f>SUM('Agriculture - Soil Mgmt'!C156:C157)*N2O_to_CO2e/1000</f>
        <v>68.08536052765534</v>
      </c>
      <c r="D67" s="126">
        <f>SUM('Agriculture - Soil Mgmt'!D156:D157)*N2O_to_CO2e/1000</f>
        <v>68.263417036534378</v>
      </c>
      <c r="E67" s="126">
        <f>SUM('Agriculture - Soil Mgmt'!E156:E157)*N2O_to_CO2e/1000</f>
        <v>68.235155052207958</v>
      </c>
      <c r="F67" s="126">
        <f>SUM('Agriculture - Soil Mgmt'!F156:F157)*N2O_to_CO2e/1000</f>
        <v>68.277355526861697</v>
      </c>
      <c r="G67" s="126">
        <f>SUM('Agriculture - Soil Mgmt'!G156:G157)*N2O_to_CO2e/1000</f>
        <v>68.264483726794992</v>
      </c>
      <c r="H67" s="126">
        <f>SUM('Agriculture - Soil Mgmt'!H156:H157)*N2O_to_CO2e/1000</f>
        <v>68.247162149387464</v>
      </c>
      <c r="I67" s="126">
        <f>SUM('Agriculture - Soil Mgmt'!I156:I157)*N2O_to_CO2e/1000</f>
        <v>68.199525786995849</v>
      </c>
      <c r="J67" s="126">
        <f>SUM('Agriculture - Soil Mgmt'!J156:J157)*N2O_to_CO2e/1000</f>
        <v>68.189984210713064</v>
      </c>
      <c r="K67" s="126">
        <f>SUM('Agriculture - Soil Mgmt'!K156:K157)*N2O_to_CO2e/1000</f>
        <v>68.160050676743268</v>
      </c>
      <c r="L67" s="126">
        <f>SUM('Agriculture - Soil Mgmt'!L156:L157)*N2O_to_CO2e/1000</f>
        <v>68.150190238941803</v>
      </c>
      <c r="M67" s="126">
        <f>SUM('Agriculture - Soil Mgmt'!M156:M157)*N2O_to_CO2e/1000</f>
        <v>68.174128320389443</v>
      </c>
      <c r="N67" s="126">
        <f>SUM('Agriculture - Soil Mgmt'!N156:N157)*N2O_to_CO2e/1000</f>
        <v>68.163059472278775</v>
      </c>
      <c r="O67" s="126">
        <f>SUM('Agriculture - Soil Mgmt'!O156:O157)*N2O_to_CO2e/1000</f>
        <v>68.149966278043351</v>
      </c>
      <c r="P67" s="126">
        <f>SUM('Agriculture - Soil Mgmt'!P156:P157)*N2O_to_CO2e/1000</f>
        <v>68.136917078223064</v>
      </c>
      <c r="Q67" s="126">
        <f>SUM('Agriculture - Soil Mgmt'!Q156:Q157)*N2O_to_CO2e/1000</f>
        <v>68.123911883785198</v>
      </c>
      <c r="R67" s="126">
        <f>SUM('Agriculture - Soil Mgmt'!R156:R157)*N2O_to_CO2e/1000</f>
        <v>68.11095070801538</v>
      </c>
      <c r="S67" s="126">
        <f>SUM('Agriculture - Soil Mgmt'!S156:S157)*N2O_to_CO2e/1000</f>
        <v>68.098033566502593</v>
      </c>
      <c r="T67" s="126">
        <f>SUM('Agriculture - Soil Mgmt'!T156:T157)*N2O_to_CO2e/1000</f>
        <v>68.085160477124234</v>
      </c>
      <c r="U67" s="126">
        <f>SUM('Agriculture - Soil Mgmt'!U156:U157)*N2O_to_CO2e/1000</f>
        <v>68.072331460031862</v>
      </c>
      <c r="V67" s="126">
        <f>SUM('Agriculture - Soil Mgmt'!V156:V157)*N2O_to_CO2e/1000</f>
        <v>68.059546537636763</v>
      </c>
      <c r="W67" s="126">
        <f>SUM('Agriculture - Soil Mgmt'!W156:W157)*N2O_to_CO2e/1000</f>
        <v>68.046805734596347</v>
      </c>
      <c r="X67" s="126">
        <f>SUM('Agriculture - Soil Mgmt'!X156:X157)*N2O_to_CO2e/1000</f>
        <v>68.03410907780011</v>
      </c>
      <c r="Y67" s="126">
        <f>SUM('Agriculture - Soil Mgmt'!Y156:Y157)*N2O_to_CO2e/1000</f>
        <v>68.021456596356572</v>
      </c>
      <c r="Z67" s="126">
        <f>SUM('Agriculture - Soil Mgmt'!Z156:Z157)*N2O_to_CO2e/1000</f>
        <v>68.008848321580075</v>
      </c>
      <c r="AA67" s="126">
        <f>SUM('Agriculture - Soil Mgmt'!AA156:AA157)*N2O_to_CO2e/1000</f>
        <v>67.996284286977925</v>
      </c>
      <c r="AB67" s="126">
        <f>SUM('Agriculture - Soil Mgmt'!AB156:AB157)*N2O_to_CO2e/1000</f>
        <v>67.983764528237913</v>
      </c>
      <c r="AC67" s="126">
        <f>SUM('Agriculture - Soil Mgmt'!AC156:AC157)*N2O_to_CO2e/1000</f>
        <v>67.971289083215908</v>
      </c>
      <c r="AD67" s="126">
        <f>SUM('Agriculture - Soil Mgmt'!AD156:AD157)*N2O_to_CO2e/1000</f>
        <v>67.958857991923892</v>
      </c>
      <c r="AE67" s="126">
        <f>SUM('Agriculture - Soil Mgmt'!AE156:AE157)*N2O_to_CO2e/1000</f>
        <v>67.946471296518212</v>
      </c>
      <c r="AF67" s="126">
        <f>SUM('Agriculture - Soil Mgmt'!AF156:AF157)*N2O_to_CO2e/1000</f>
        <v>67.934129041287918</v>
      </c>
      <c r="AG67" s="126">
        <f>SUM('Agriculture - Soil Mgmt'!AG156:AG157)*N2O_to_CO2e/1000</f>
        <v>67.921831272643587</v>
      </c>
      <c r="AH67" s="126">
        <f>SUM('Agriculture - Soil Mgmt'!AH156:AH157)*N2O_to_CO2e/1000</f>
        <v>67.90957803910625</v>
      </c>
      <c r="AI67" s="126">
        <f>SUM('Agriculture - Soil Mgmt'!AI156:AI157)*N2O_to_CO2e/1000</f>
        <v>67.897369391296664</v>
      </c>
      <c r="AJ67" s="126">
        <f>SUM('Agriculture - Soil Mgmt'!AJ156:AJ157)*N2O_to_CO2e/1000</f>
        <v>67.885205381924678</v>
      </c>
    </row>
    <row r="68" spans="1:36" x14ac:dyDescent="0.25">
      <c r="A68" s="334" t="s">
        <v>1589</v>
      </c>
      <c r="B68" s="126">
        <f>'Other Industrial Processes'!D525*CH4_to_CO2e/1000</f>
        <v>0.308</v>
      </c>
      <c r="C68" s="126">
        <f>'Other Industrial Processes'!E525*CH4_to_CO2e/1000</f>
        <v>0.308</v>
      </c>
      <c r="D68" s="126">
        <f>'Other Industrial Processes'!F525*CH4_to_CO2e/1000</f>
        <v>0.308</v>
      </c>
      <c r="E68" s="126">
        <f>'Other Industrial Processes'!G525*CH4_to_CO2e/1000</f>
        <v>0.308</v>
      </c>
      <c r="F68" s="126">
        <f>'Other Industrial Processes'!H525*CH4_to_CO2e/1000</f>
        <v>0.308</v>
      </c>
      <c r="G68" s="126">
        <f>'Other Industrial Processes'!I525*CH4_to_CO2e/1000</f>
        <v>0.308</v>
      </c>
      <c r="H68" s="126">
        <f>'Other Industrial Processes'!J525*CH4_to_CO2e/1000</f>
        <v>0.308</v>
      </c>
      <c r="I68" s="126">
        <f>'Other Industrial Processes'!K525*CH4_to_CO2e/1000</f>
        <v>0.308</v>
      </c>
      <c r="J68" s="126">
        <f>'Other Industrial Processes'!L525*CH4_to_CO2e/1000</f>
        <v>0.308</v>
      </c>
      <c r="K68" s="126">
        <f>'Other Industrial Processes'!M525*CH4_to_CO2e/1000</f>
        <v>0.308</v>
      </c>
      <c r="L68" s="126">
        <f>'Other Industrial Processes'!N525*CH4_to_CO2e/1000</f>
        <v>0.308</v>
      </c>
      <c r="M68" s="126">
        <f>'Other Industrial Processes'!O525*CH4_to_CO2e/1000</f>
        <v>0.308</v>
      </c>
      <c r="N68" s="126">
        <f>'Other Industrial Processes'!P525*CH4_to_CO2e/1000</f>
        <v>0.308</v>
      </c>
      <c r="O68" s="126">
        <f>'Other Industrial Processes'!Q525*CH4_to_CO2e/1000</f>
        <v>0.308</v>
      </c>
      <c r="P68" s="126">
        <f>'Other Industrial Processes'!R525*CH4_to_CO2e/1000</f>
        <v>0.308</v>
      </c>
      <c r="Q68" s="126">
        <f>'Other Industrial Processes'!S525*CH4_to_CO2e/1000</f>
        <v>0.308</v>
      </c>
      <c r="R68" s="126">
        <f>'Other Industrial Processes'!T525*CH4_to_CO2e/1000</f>
        <v>0.308</v>
      </c>
      <c r="S68" s="126">
        <f>'Other Industrial Processes'!U525*CH4_to_CO2e/1000</f>
        <v>0.308</v>
      </c>
      <c r="T68" s="126">
        <f>'Other Industrial Processes'!V525*CH4_to_CO2e/1000</f>
        <v>0.308</v>
      </c>
      <c r="U68" s="126">
        <f>'Other Industrial Processes'!W525*CH4_to_CO2e/1000</f>
        <v>0.308</v>
      </c>
      <c r="V68" s="126">
        <f>'Other Industrial Processes'!X525*CH4_to_CO2e/1000</f>
        <v>0.308</v>
      </c>
      <c r="W68" s="126">
        <f>'Other Industrial Processes'!Y525*CH4_to_CO2e/1000</f>
        <v>0.308</v>
      </c>
      <c r="X68" s="126">
        <f>'Other Industrial Processes'!Z525*CH4_to_CO2e/1000</f>
        <v>0.308</v>
      </c>
      <c r="Y68" s="126">
        <f>'Other Industrial Processes'!AA525*CH4_to_CO2e/1000</f>
        <v>0.308</v>
      </c>
      <c r="Z68" s="126">
        <f>'Other Industrial Processes'!AB525*CH4_to_CO2e/1000</f>
        <v>0.308</v>
      </c>
      <c r="AA68" s="126">
        <f>'Other Industrial Processes'!AC525*CH4_to_CO2e/1000</f>
        <v>0.308</v>
      </c>
      <c r="AB68" s="126">
        <f>'Other Industrial Processes'!AD525*CH4_to_CO2e/1000</f>
        <v>0.308</v>
      </c>
      <c r="AC68" s="126">
        <f>'Other Industrial Processes'!AE525*CH4_to_CO2e/1000</f>
        <v>0.308</v>
      </c>
      <c r="AD68" s="126">
        <f>'Other Industrial Processes'!AF525*CH4_to_CO2e/1000</f>
        <v>0.308</v>
      </c>
      <c r="AE68" s="126">
        <f>'Other Industrial Processes'!AG525*CH4_to_CO2e/1000</f>
        <v>0.308</v>
      </c>
      <c r="AF68" s="126">
        <f>'Other Industrial Processes'!AH525*CH4_to_CO2e/1000</f>
        <v>0.308</v>
      </c>
      <c r="AG68" s="126">
        <f>'Other Industrial Processes'!AI525*CH4_to_CO2e/1000</f>
        <v>0.308</v>
      </c>
      <c r="AH68" s="126">
        <f>'Other Industrial Processes'!AJ525*CH4_to_CO2e/1000</f>
        <v>0.308</v>
      </c>
      <c r="AI68" s="126">
        <f>'Other Industrial Processes'!AK525*CH4_to_CO2e/1000</f>
        <v>0.308</v>
      </c>
      <c r="AJ68" s="126">
        <f>'Other Industrial Processes'!AL525*CH4_to_CO2e/1000</f>
        <v>0.308</v>
      </c>
    </row>
    <row r="69" spans="1:36" x14ac:dyDescent="0.25">
      <c r="A69" s="129"/>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row>
    <row r="70" spans="1:36" x14ac:dyDescent="0.25">
      <c r="A70" s="132" t="s">
        <v>847</v>
      </c>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I70" s="133"/>
      <c r="AJ70" s="133"/>
    </row>
    <row r="71" spans="1:36" x14ac:dyDescent="0.25">
      <c r="A71" s="128" t="s">
        <v>848</v>
      </c>
      <c r="B71" s="125">
        <f t="shared" ref="B71:AJ71" si="13">SUM(B75,B77,B79,B81)</f>
        <v>11.219995591515541</v>
      </c>
      <c r="C71" s="125">
        <f t="shared" si="13"/>
        <v>11.059733437974353</v>
      </c>
      <c r="D71" s="125">
        <f t="shared" si="13"/>
        <v>11.069169176406646</v>
      </c>
      <c r="E71" s="125">
        <f t="shared" si="13"/>
        <v>11.06662667371145</v>
      </c>
      <c r="F71" s="125">
        <f t="shared" si="13"/>
        <v>11.046649112204495</v>
      </c>
      <c r="G71" s="125">
        <f t="shared" si="13"/>
        <v>11.219136440169239</v>
      </c>
      <c r="H71" s="125">
        <f t="shared" si="13"/>
        <v>11.408390762607302</v>
      </c>
      <c r="I71" s="125">
        <f t="shared" si="13"/>
        <v>11.61489807649123</v>
      </c>
      <c r="J71" s="125">
        <f t="shared" si="13"/>
        <v>11.839190867508545</v>
      </c>
      <c r="K71" s="125">
        <f t="shared" si="13"/>
        <v>12.081849216940524</v>
      </c>
      <c r="L71" s="125">
        <f t="shared" si="13"/>
        <v>12.343502065323726</v>
      </c>
      <c r="M71" s="125">
        <f t="shared" si="13"/>
        <v>12.624828633965016</v>
      </c>
      <c r="N71" s="125">
        <f t="shared" si="13"/>
        <v>12.926560006024342</v>
      </c>
      <c r="O71" s="125">
        <f t="shared" si="13"/>
        <v>13.249480869512418</v>
      </c>
      <c r="P71" s="125">
        <f t="shared" si="13"/>
        <v>13.594431425176031</v>
      </c>
      <c r="Q71" s="125">
        <f t="shared" si="13"/>
        <v>13.962309462864665</v>
      </c>
      <c r="R71" s="125">
        <f t="shared" si="13"/>
        <v>14.354072610591626</v>
      </c>
      <c r="S71" s="125">
        <f t="shared" si="13"/>
        <v>14.770740761123594</v>
      </c>
      <c r="T71" s="125">
        <f t="shared" si="13"/>
        <v>15.213398681557397</v>
      </c>
      <c r="U71" s="125">
        <f t="shared" si="13"/>
        <v>15.683198811974144</v>
      </c>
      <c r="V71" s="125">
        <f t="shared" si="13"/>
        <v>16.181364259901834</v>
      </c>
      <c r="W71" s="125">
        <f t="shared" si="13"/>
        <v>16.709191997970404</v>
      </c>
      <c r="X71" s="125">
        <f t="shared" si="13"/>
        <v>17.268056272810512</v>
      </c>
      <c r="Y71" s="125">
        <f t="shared" si="13"/>
        <v>17.859412233932115</v>
      </c>
      <c r="Z71" s="125">
        <f t="shared" si="13"/>
        <v>18.48479979202326</v>
      </c>
      <c r="AA71" s="125">
        <f t="shared" si="13"/>
        <v>19.145847716836482</v>
      </c>
      <c r="AB71" s="125">
        <f t="shared" si="13"/>
        <v>19.844277985582142</v>
      </c>
      <c r="AC71" s="125">
        <f t="shared" si="13"/>
        <v>20.581910393527828</v>
      </c>
      <c r="AD71" s="125">
        <f t="shared" si="13"/>
        <v>21.360667439313531</v>
      </c>
      <c r="AE71" s="125">
        <f t="shared" si="13"/>
        <v>22.182579498335901</v>
      </c>
      <c r="AF71" s="125">
        <f t="shared" si="13"/>
        <v>23.049790298435269</v>
      </c>
      <c r="AG71" s="125">
        <f t="shared" si="13"/>
        <v>23.964562713038511</v>
      </c>
      <c r="AH71" s="125">
        <f t="shared" si="13"/>
        <v>24.929284887872758</v>
      </c>
      <c r="AI71" s="125">
        <f t="shared" si="13"/>
        <v>25.946476718372775</v>
      </c>
      <c r="AJ71" s="125">
        <f t="shared" si="13"/>
        <v>27.018796695961122</v>
      </c>
    </row>
    <row r="72" spans="1:36" x14ac:dyDescent="0.25">
      <c r="A72" s="128" t="s">
        <v>849</v>
      </c>
      <c r="B72" s="137">
        <f t="shared" ref="B72:AJ72" si="14">SUM(B78,B80,B82)</f>
        <v>24.956</v>
      </c>
      <c r="C72" s="137">
        <f t="shared" si="14"/>
        <v>25.539648731399566</v>
      </c>
      <c r="D72" s="137">
        <f t="shared" si="14"/>
        <v>25.909619708396363</v>
      </c>
      <c r="E72" s="137">
        <f t="shared" si="14"/>
        <v>26.28216144296249</v>
      </c>
      <c r="F72" s="137">
        <f t="shared" si="14"/>
        <v>26.65721643366599</v>
      </c>
      <c r="G72" s="137">
        <f t="shared" si="14"/>
        <v>27.034728700928898</v>
      </c>
      <c r="H72" s="137">
        <f t="shared" si="14"/>
        <v>27.414643743241605</v>
      </c>
      <c r="I72" s="137">
        <f t="shared" si="14"/>
        <v>27.796908494711765</v>
      </c>
      <c r="J72" s="137">
        <f t="shared" si="14"/>
        <v>28.1814712839059</v>
      </c>
      <c r="K72" s="137">
        <f t="shared" si="14"/>
        <v>28.568281793943132</v>
      </c>
      <c r="L72" s="137">
        <f t="shared" si="14"/>
        <v>28.957291023801915</v>
      </c>
      <c r="M72" s="137">
        <f t="shared" si="14"/>
        <v>29.348451250801673</v>
      </c>
      <c r="N72" s="137">
        <f t="shared" si="14"/>
        <v>29.741715994222645</v>
      </c>
      <c r="O72" s="137">
        <f t="shared" si="14"/>
        <v>30.137039980028295</v>
      </c>
      <c r="P72" s="137">
        <f t="shared" si="14"/>
        <v>30.534379106655834</v>
      </c>
      <c r="Q72" s="137">
        <f t="shared" si="14"/>
        <v>30.933690411841567</v>
      </c>
      <c r="R72" s="137">
        <f t="shared" si="14"/>
        <v>31.33493204044845</v>
      </c>
      <c r="S72" s="137">
        <f t="shared" si="14"/>
        <v>31.738063213264979</v>
      </c>
      <c r="T72" s="137">
        <f t="shared" si="14"/>
        <v>32.143044196744782</v>
      </c>
      <c r="U72" s="137">
        <f t="shared" si="14"/>
        <v>32.549836273657718</v>
      </c>
      <c r="V72" s="137">
        <f t="shared" si="14"/>
        <v>32.958401714624152</v>
      </c>
      <c r="W72" s="137">
        <f t="shared" si="14"/>
        <v>33.368703750504665</v>
      </c>
      <c r="X72" s="137">
        <f t="shared" si="14"/>
        <v>33.780706545618798</v>
      </c>
      <c r="Y72" s="137">
        <f t="shared" si="14"/>
        <v>34.194375171767021</v>
      </c>
      <c r="Z72" s="137">
        <f t="shared" si="14"/>
        <v>34.609675583030707</v>
      </c>
      <c r="AA72" s="137">
        <f t="shared" si="14"/>
        <v>35.026574591326323</v>
      </c>
      <c r="AB72" s="137">
        <f t="shared" si="14"/>
        <v>35.445039842690093</v>
      </c>
      <c r="AC72" s="137">
        <f t="shared" si="14"/>
        <v>35.865039794270622</v>
      </c>
      <c r="AD72" s="137">
        <f t="shared" si="14"/>
        <v>36.286543692007548</v>
      </c>
      <c r="AE72" s="137">
        <f t="shared" si="14"/>
        <v>36.709521548974799</v>
      </c>
      <c r="AF72" s="137">
        <f t="shared" si="14"/>
        <v>37.133944124368071</v>
      </c>
      <c r="AG72" s="137">
        <f t="shared" si="14"/>
        <v>37.559782903116449</v>
      </c>
      <c r="AH72" s="137">
        <f t="shared" si="14"/>
        <v>37.987010076099004</v>
      </c>
      <c r="AI72" s="137">
        <f t="shared" si="14"/>
        <v>38.415598520947405</v>
      </c>
      <c r="AJ72" s="137">
        <f t="shared" si="14"/>
        <v>38.845521783416835</v>
      </c>
    </row>
    <row r="73" spans="1:36" x14ac:dyDescent="0.25">
      <c r="A73" s="128" t="s">
        <v>890</v>
      </c>
      <c r="B73" s="125">
        <f t="shared" ref="B73:AJ73" si="15">B76+B83</f>
        <v>3.9750000000000001</v>
      </c>
      <c r="C73" s="125">
        <f t="shared" si="15"/>
        <v>3.9921753124999997</v>
      </c>
      <c r="D73" s="125">
        <f t="shared" si="15"/>
        <v>4.0085390210937497</v>
      </c>
      <c r="E73" s="125">
        <f t="shared" si="15"/>
        <v>4.0237428760830074</v>
      </c>
      <c r="F73" s="125">
        <f t="shared" si="15"/>
        <v>4.0374425198871586</v>
      </c>
      <c r="G73" s="125">
        <f t="shared" si="15"/>
        <v>4.051827145881516</v>
      </c>
      <c r="H73" s="125">
        <f t="shared" si="15"/>
        <v>4.0669310031755916</v>
      </c>
      <c r="I73" s="125">
        <f t="shared" si="15"/>
        <v>4.0827900533343717</v>
      </c>
      <c r="J73" s="125">
        <f t="shared" si="15"/>
        <v>4.0994420560010898</v>
      </c>
      <c r="K73" s="125">
        <f t="shared" si="15"/>
        <v>4.1169266588011446</v>
      </c>
      <c r="L73" s="125">
        <f t="shared" si="15"/>
        <v>4.1352854917412021</v>
      </c>
      <c r="M73" s="125">
        <f t="shared" si="15"/>
        <v>4.154562266328262</v>
      </c>
      <c r="N73" s="125">
        <f t="shared" si="15"/>
        <v>4.174802879644675</v>
      </c>
      <c r="O73" s="125">
        <f t="shared" si="15"/>
        <v>4.1960555236269093</v>
      </c>
      <c r="P73" s="125">
        <f t="shared" si="15"/>
        <v>4.2183707998082545</v>
      </c>
      <c r="Q73" s="125">
        <f t="shared" si="15"/>
        <v>4.2418018397986668</v>
      </c>
      <c r="R73" s="125">
        <f t="shared" si="15"/>
        <v>4.266404431788601</v>
      </c>
      <c r="S73" s="125">
        <f t="shared" si="15"/>
        <v>4.2922371533780304</v>
      </c>
      <c r="T73" s="125">
        <f t="shared" si="15"/>
        <v>4.3193615110469317</v>
      </c>
      <c r="U73" s="125">
        <f t="shared" si="15"/>
        <v>4.3478420865992788</v>
      </c>
      <c r="V73" s="125">
        <f t="shared" si="15"/>
        <v>4.3777466909292428</v>
      </c>
      <c r="W73" s="125">
        <f t="shared" si="15"/>
        <v>4.4091465254757054</v>
      </c>
      <c r="X73" s="125">
        <f t="shared" si="15"/>
        <v>4.4421163517494904</v>
      </c>
      <c r="Y73" s="125">
        <f t="shared" si="15"/>
        <v>4.476734669336965</v>
      </c>
      <c r="Z73" s="125">
        <f t="shared" si="15"/>
        <v>4.513083902803813</v>
      </c>
      <c r="AA73" s="125">
        <f t="shared" si="15"/>
        <v>4.5512505979440032</v>
      </c>
      <c r="AB73" s="125">
        <f t="shared" si="15"/>
        <v>4.5913256278412042</v>
      </c>
      <c r="AC73" s="125">
        <f t="shared" si="15"/>
        <v>4.6334044092332638</v>
      </c>
      <c r="AD73" s="125">
        <f t="shared" si="15"/>
        <v>4.6775871296949276</v>
      </c>
      <c r="AE73" s="125">
        <f t="shared" si="15"/>
        <v>4.7239789861796737</v>
      </c>
      <c r="AF73" s="125">
        <f t="shared" si="15"/>
        <v>4.7726904354886575</v>
      </c>
      <c r="AG73" s="125">
        <f t="shared" si="15"/>
        <v>4.8238374572630907</v>
      </c>
      <c r="AH73" s="125">
        <f t="shared" si="15"/>
        <v>4.877541830126245</v>
      </c>
      <c r="AI73" s="125">
        <f t="shared" si="15"/>
        <v>4.9339314216325576</v>
      </c>
      <c r="AJ73" s="125">
        <f t="shared" si="15"/>
        <v>4.9931404927141854</v>
      </c>
    </row>
    <row r="74" spans="1:36" x14ac:dyDescent="0.25">
      <c r="A74" s="128" t="s">
        <v>1727</v>
      </c>
      <c r="B74" s="125">
        <f t="shared" ref="B74:AJ74" si="16">B84</f>
        <v>2.8000000000000001E-2</v>
      </c>
      <c r="C74" s="125">
        <f t="shared" si="16"/>
        <v>3.0800000000000004E-2</v>
      </c>
      <c r="D74" s="125">
        <f t="shared" si="16"/>
        <v>3.3600000000000012E-2</v>
      </c>
      <c r="E74" s="125">
        <f t="shared" si="16"/>
        <v>3.6400000000000009E-2</v>
      </c>
      <c r="F74" s="125">
        <f t="shared" si="16"/>
        <v>3.9200000000000013E-2</v>
      </c>
      <c r="G74" s="125">
        <f t="shared" si="16"/>
        <v>4.2000000000000016E-2</v>
      </c>
      <c r="H74" s="125">
        <f t="shared" si="16"/>
        <v>4.4800000000000013E-2</v>
      </c>
      <c r="I74" s="125">
        <f t="shared" si="16"/>
        <v>4.7600000000000017E-2</v>
      </c>
      <c r="J74" s="125">
        <f t="shared" si="16"/>
        <v>5.0400000000000021E-2</v>
      </c>
      <c r="K74" s="125">
        <f t="shared" si="16"/>
        <v>5.3200000000000025E-2</v>
      </c>
      <c r="L74" s="125">
        <f t="shared" si="16"/>
        <v>5.6000000000000029E-2</v>
      </c>
      <c r="M74" s="125">
        <f t="shared" si="16"/>
        <v>5.8800000000000026E-2</v>
      </c>
      <c r="N74" s="125">
        <f t="shared" si="16"/>
        <v>6.160000000000003E-2</v>
      </c>
      <c r="O74" s="125">
        <f t="shared" si="16"/>
        <v>6.4400000000000041E-2</v>
      </c>
      <c r="P74" s="125">
        <f t="shared" si="16"/>
        <v>6.7200000000000037E-2</v>
      </c>
      <c r="Q74" s="125">
        <f t="shared" si="16"/>
        <v>7.0000000000000048E-2</v>
      </c>
      <c r="R74" s="125">
        <f t="shared" si="16"/>
        <v>7.2800000000000045E-2</v>
      </c>
      <c r="S74" s="125">
        <f t="shared" si="16"/>
        <v>7.5600000000000042E-2</v>
      </c>
      <c r="T74" s="125">
        <f t="shared" si="16"/>
        <v>7.8400000000000053E-2</v>
      </c>
      <c r="U74" s="125">
        <f t="shared" si="16"/>
        <v>8.120000000000005E-2</v>
      </c>
      <c r="V74" s="125">
        <f t="shared" si="16"/>
        <v>8.4000000000000061E-2</v>
      </c>
      <c r="W74" s="125">
        <f t="shared" si="16"/>
        <v>8.6800000000000058E-2</v>
      </c>
      <c r="X74" s="125">
        <f t="shared" si="16"/>
        <v>8.9600000000000055E-2</v>
      </c>
      <c r="Y74" s="125">
        <f t="shared" si="16"/>
        <v>9.2400000000000065E-2</v>
      </c>
      <c r="Z74" s="125">
        <f t="shared" si="16"/>
        <v>9.5200000000000062E-2</v>
      </c>
      <c r="AA74" s="125">
        <f t="shared" si="16"/>
        <v>9.8000000000000059E-2</v>
      </c>
      <c r="AB74" s="125">
        <f t="shared" si="16"/>
        <v>0.10080000000000007</v>
      </c>
      <c r="AC74" s="125">
        <f t="shared" si="16"/>
        <v>0.10360000000000007</v>
      </c>
      <c r="AD74" s="125">
        <f t="shared" si="16"/>
        <v>0.10640000000000006</v>
      </c>
      <c r="AE74" s="125">
        <f t="shared" si="16"/>
        <v>0.10920000000000007</v>
      </c>
      <c r="AF74" s="125">
        <f t="shared" si="16"/>
        <v>0.11200000000000007</v>
      </c>
      <c r="AG74" s="125">
        <f t="shared" si="16"/>
        <v>0.11480000000000007</v>
      </c>
      <c r="AH74" s="125">
        <f t="shared" si="16"/>
        <v>0.11760000000000005</v>
      </c>
      <c r="AI74" s="125">
        <f t="shared" si="16"/>
        <v>0.12040000000000005</v>
      </c>
      <c r="AJ74" s="125">
        <f t="shared" si="16"/>
        <v>0.12320000000000003</v>
      </c>
    </row>
    <row r="75" spans="1:36" x14ac:dyDescent="0.25">
      <c r="A75" s="118" t="s">
        <v>850</v>
      </c>
      <c r="B75" s="119">
        <f>'Other - Semiconductor Mfg'!B14</f>
        <v>4.0999999999999996</v>
      </c>
      <c r="C75" s="119">
        <f>'Other - Semiconductor Mfg'!C14</f>
        <v>4.3657312499999996</v>
      </c>
      <c r="D75" s="119">
        <f>'Other - Semiconductor Mfg'!D14</f>
        <v>4.6189056093750001</v>
      </c>
      <c r="E75" s="119">
        <f>'Other - Semiconductor Mfg'!E14</f>
        <v>4.8541350639257823</v>
      </c>
      <c r="F75" s="119">
        <f>'Other - Semiconductor Mfg'!F14</f>
        <v>5.0660918171220706</v>
      </c>
      <c r="G75" s="119">
        <f>'Other - Semiconductor Mfg'!G14</f>
        <v>5.2886464079781739</v>
      </c>
      <c r="H75" s="119">
        <f>'Other - Semiconductor Mfg'!H14</f>
        <v>5.5223287283770839</v>
      </c>
      <c r="I75" s="119">
        <f>'Other - Semiconductor Mfg'!I14</f>
        <v>5.7676951647959385</v>
      </c>
      <c r="J75" s="119">
        <f>'Other - Semiconductor Mfg'!J14</f>
        <v>6.0253299230357351</v>
      </c>
      <c r="K75" s="119">
        <f>'Other - Semiconductor Mfg'!K14</f>
        <v>6.2958464191875221</v>
      </c>
      <c r="L75" s="119">
        <f>'Other - Semiconductor Mfg'!L14</f>
        <v>6.5798887401468988</v>
      </c>
      <c r="M75" s="119">
        <f>'Other - Semiconductor Mfg'!M14</f>
        <v>6.8781331771542433</v>
      </c>
      <c r="N75" s="119">
        <f>'Other - Semiconductor Mfg'!N14</f>
        <v>7.1912898360119559</v>
      </c>
      <c r="O75" s="119">
        <f>'Other - Semiconductor Mfg'!O14</f>
        <v>7.5201043278125539</v>
      </c>
      <c r="P75" s="119">
        <f>'Other - Semiconductor Mfg'!P14</f>
        <v>7.8653595442031818</v>
      </c>
      <c r="Q75" s="119">
        <f>'Other - Semiconductor Mfg'!Q14</f>
        <v>8.2278775214133404</v>
      </c>
      <c r="R75" s="119">
        <f>'Other - Semiconductor Mfg'!R14</f>
        <v>8.6085213974840098</v>
      </c>
      <c r="S75" s="119">
        <f>'Other - Semiconductor Mfg'!S14</f>
        <v>9.0081974673582081</v>
      </c>
      <c r="T75" s="119">
        <f>'Other - Semiconductor Mfg'!T14</f>
        <v>9.4278573407261188</v>
      </c>
      <c r="U75" s="119">
        <f>'Other - Semiconductor Mfg'!U14</f>
        <v>9.8685002077624269</v>
      </c>
      <c r="V75" s="119">
        <f>'Other - Semiconductor Mfg'!V14</f>
        <v>10.331175218150547</v>
      </c>
      <c r="W75" s="119">
        <f>'Other - Semiconductor Mfg'!W14</f>
        <v>10.816983979058074</v>
      </c>
      <c r="X75" s="119">
        <f>'Other - Semiconductor Mfg'!X14</f>
        <v>11.327083178010978</v>
      </c>
      <c r="Y75" s="119">
        <f>'Other - Semiconductor Mfg'!Y14</f>
        <v>11.862687336911529</v>
      </c>
      <c r="Z75" s="119">
        <f>'Other - Semiconductor Mfg'!Z14</f>
        <v>12.425071703757107</v>
      </c>
      <c r="AA75" s="119">
        <f>'Other - Semiconductor Mfg'!AA14</f>
        <v>13.015575288944961</v>
      </c>
      <c r="AB75" s="119">
        <f>'Other - Semiconductor Mfg'!AB14</f>
        <v>13.63560405339221</v>
      </c>
      <c r="AC75" s="119">
        <f>'Other - Semiconductor Mfg'!AC14</f>
        <v>14.28663425606182</v>
      </c>
      <c r="AD75" s="119">
        <f>'Other - Semiconductor Mfg'!AD14</f>
        <v>14.970215968864911</v>
      </c>
      <c r="AE75" s="119">
        <f>'Other - Semiconductor Mfg'!AE14</f>
        <v>15.687976767308157</v>
      </c>
      <c r="AF75" s="119">
        <f>'Other - Semiconductor Mfg'!AF14</f>
        <v>16.441625605673565</v>
      </c>
      <c r="AG75" s="119">
        <f>'Other - Semiconductor Mfg'!AG14</f>
        <v>17.232956885957243</v>
      </c>
      <c r="AH75" s="119">
        <f>'Other - Semiconductor Mfg'!AH14</f>
        <v>18.063854730255105</v>
      </c>
      <c r="AI75" s="119">
        <f>'Other - Semiconductor Mfg'!AI14</f>
        <v>18.936297466767861</v>
      </c>
      <c r="AJ75" s="119">
        <f>'Other - Semiconductor Mfg'!AJ14</f>
        <v>19.852362340106257</v>
      </c>
    </row>
    <row r="76" spans="1:36" x14ac:dyDescent="0.25">
      <c r="A76" s="118" t="s">
        <v>883</v>
      </c>
      <c r="B76" s="119">
        <f>'Other - Semiconductor Mfg'!B15*N2O_to_CO2e/1000</f>
        <v>0.26500000000000001</v>
      </c>
      <c r="C76" s="119">
        <f>'Other - Semiconductor Mfg'!C15*N2O_to_CO2e/1000</f>
        <v>0.28217531249999994</v>
      </c>
      <c r="D76" s="119">
        <f>'Other - Semiconductor Mfg'!D15*N2O_to_CO2e/1000</f>
        <v>0.29853902109375002</v>
      </c>
      <c r="E76" s="119">
        <f>'Other - Semiconductor Mfg'!E15*N2O_to_CO2e/1000</f>
        <v>0.31374287608300788</v>
      </c>
      <c r="F76" s="119">
        <f>'Other - Semiconductor Mfg'!F15*N2O_to_CO2e/1000</f>
        <v>0.32744251988715833</v>
      </c>
      <c r="G76" s="119">
        <f>'Other - Semiconductor Mfg'!G15*N2O_to_CO2e/1000</f>
        <v>0.34182714588151619</v>
      </c>
      <c r="H76" s="119">
        <f>'Other - Semiconductor Mfg'!H15*N2O_to_CO2e/1000</f>
        <v>0.35693100317559195</v>
      </c>
      <c r="I76" s="119">
        <f>'Other - Semiconductor Mfg'!I15*N2O_to_CO2e/1000</f>
        <v>0.37279005333437165</v>
      </c>
      <c r="J76" s="119">
        <f>'Other - Semiconductor Mfg'!J15*N2O_to_CO2e/1000</f>
        <v>0.38944205600109022</v>
      </c>
      <c r="K76" s="119">
        <f>'Other - Semiconductor Mfg'!K15*N2O_to_CO2e/1000</f>
        <v>0.40692665880114476</v>
      </c>
      <c r="L76" s="119">
        <f>'Other - Semiconductor Mfg'!L15*N2O_to_CO2e/1000</f>
        <v>0.425285491741202</v>
      </c>
      <c r="M76" s="119">
        <f>'Other - Semiconductor Mfg'!M15*N2O_to_CO2e/1000</f>
        <v>0.44456226632826207</v>
      </c>
      <c r="N76" s="119">
        <f>'Other - Semiconductor Mfg'!N15*N2O_to_CO2e/1000</f>
        <v>0.46480287964467526</v>
      </c>
      <c r="O76" s="119">
        <f>'Other - Semiconductor Mfg'!O15*N2O_to_CO2e/1000</f>
        <v>0.48605552362690901</v>
      </c>
      <c r="P76" s="119">
        <f>'Other - Semiconductor Mfg'!P15*N2O_to_CO2e/1000</f>
        <v>0.5083707998082545</v>
      </c>
      <c r="Q76" s="119">
        <f>'Other - Semiconductor Mfg'!Q15*N2O_to_CO2e/1000</f>
        <v>0.53180183979866713</v>
      </c>
      <c r="R76" s="119">
        <f>'Other - Semiconductor Mfg'!R15*N2O_to_CO2e/1000</f>
        <v>0.55640443178860055</v>
      </c>
      <c r="S76" s="119">
        <f>'Other - Semiconductor Mfg'!S15*N2O_to_CO2e/1000</f>
        <v>0.58223715337803061</v>
      </c>
      <c r="T76" s="119">
        <f>'Other - Semiconductor Mfg'!T15*N2O_to_CO2e/1000</f>
        <v>0.60936151104693215</v>
      </c>
      <c r="U76" s="119">
        <f>'Other - Semiconductor Mfg'!U15*N2O_to_CO2e/1000</f>
        <v>0.63784208659927866</v>
      </c>
      <c r="V76" s="119">
        <f>'Other - Semiconductor Mfg'!V15*N2O_to_CO2e/1000</f>
        <v>0.66774669092924277</v>
      </c>
      <c r="W76" s="119">
        <f>'Other - Semiconductor Mfg'!W15*N2O_to_CO2e/1000</f>
        <v>0.69914652547570499</v>
      </c>
      <c r="X76" s="119">
        <f>'Other - Semiconductor Mfg'!X15*N2O_to_CO2e/1000</f>
        <v>0.73211635174949019</v>
      </c>
      <c r="Y76" s="119">
        <f>'Other - Semiconductor Mfg'!Y15*N2O_to_CO2e/1000</f>
        <v>0.76673466933696477</v>
      </c>
      <c r="Z76" s="119">
        <f>'Other - Semiconductor Mfg'!Z15*N2O_to_CO2e/1000</f>
        <v>0.80308390280381292</v>
      </c>
      <c r="AA76" s="119">
        <f>'Other - Semiconductor Mfg'!AA15*N2O_to_CO2e/1000</f>
        <v>0.84125059794400359</v>
      </c>
      <c r="AB76" s="119">
        <f>'Other - Semiconductor Mfg'!AB15*N2O_to_CO2e/1000</f>
        <v>0.88132562784120383</v>
      </c>
      <c r="AC76" s="119">
        <f>'Other - Semiconductor Mfg'!AC15*N2O_to_CO2e/1000</f>
        <v>0.92340440923326417</v>
      </c>
      <c r="AD76" s="119">
        <f>'Other - Semiconductor Mfg'!AD15*N2O_to_CO2e/1000</f>
        <v>0.96758712969492744</v>
      </c>
      <c r="AE76" s="119">
        <f>'Other - Semiconductor Mfg'!AE15*N2O_to_CO2e/1000</f>
        <v>1.0139789861796737</v>
      </c>
      <c r="AF76" s="119">
        <f>'Other - Semiconductor Mfg'!AF15*N2O_to_CO2e/1000</f>
        <v>1.0626904354886575</v>
      </c>
      <c r="AG76" s="119">
        <f>'Other - Semiconductor Mfg'!AG15*N2O_to_CO2e/1000</f>
        <v>1.1138374572630902</v>
      </c>
      <c r="AH76" s="119">
        <f>'Other - Semiconductor Mfg'!AH15*N2O_to_CO2e/1000</f>
        <v>1.167541830126245</v>
      </c>
      <c r="AI76" s="119">
        <f>'Other - Semiconductor Mfg'!AI15*N2O_to_CO2e/1000</f>
        <v>1.2239314216325572</v>
      </c>
      <c r="AJ76" s="119">
        <f>'Other - Semiconductor Mfg'!AJ15*N2O_to_CO2e/1000</f>
        <v>1.2831404927141852</v>
      </c>
    </row>
    <row r="77" spans="1:36" x14ac:dyDescent="0.25">
      <c r="A77" s="118" t="s">
        <v>851</v>
      </c>
      <c r="B77" s="119">
        <f>'Other - Aluminum'!B19</f>
        <v>1.4</v>
      </c>
      <c r="C77" s="119">
        <f>'Other - Aluminum'!C19</f>
        <v>1.047723292469352</v>
      </c>
      <c r="D77" s="119">
        <f>'Other - Aluminum'!D19</f>
        <v>0.87158493870402809</v>
      </c>
      <c r="E77" s="119">
        <f>'Other - Aluminum'!E19</f>
        <v>0.69544658493870404</v>
      </c>
      <c r="F77" s="119">
        <f>'Other - Aluminum'!F19</f>
        <v>0.5193082311733801</v>
      </c>
      <c r="G77" s="119">
        <f>'Other - Aluminum'!G19</f>
        <v>0.5193082311733801</v>
      </c>
      <c r="H77" s="119">
        <f>'Other - Aluminum'!H19</f>
        <v>0.5193082311733801</v>
      </c>
      <c r="I77" s="119">
        <f>'Other - Aluminum'!I19</f>
        <v>0.5193082311733801</v>
      </c>
      <c r="J77" s="119">
        <f>'Other - Aluminum'!J19</f>
        <v>0.5193082311733801</v>
      </c>
      <c r="K77" s="119">
        <f>'Other - Aluminum'!K19</f>
        <v>0.5193082311733801</v>
      </c>
      <c r="L77" s="119">
        <f>'Other - Aluminum'!L19</f>
        <v>0.5193082311733801</v>
      </c>
      <c r="M77" s="119">
        <f>'Other - Aluminum'!M19</f>
        <v>0.5193082311733801</v>
      </c>
      <c r="N77" s="119">
        <f>'Other - Aluminum'!N19</f>
        <v>0.5193082311733801</v>
      </c>
      <c r="O77" s="119">
        <f>'Other - Aluminum'!O19</f>
        <v>0.5193082311733801</v>
      </c>
      <c r="P77" s="119">
        <f>'Other - Aluminum'!P19</f>
        <v>0.5193082311733801</v>
      </c>
      <c r="Q77" s="119">
        <f>'Other - Aluminum'!Q19</f>
        <v>0.5193082311733801</v>
      </c>
      <c r="R77" s="119">
        <f>'Other - Aluminum'!R19</f>
        <v>0.5193082311733801</v>
      </c>
      <c r="S77" s="119">
        <f>'Other - Aluminum'!S19</f>
        <v>0.5193082311733801</v>
      </c>
      <c r="T77" s="119">
        <f>'Other - Aluminum'!T19</f>
        <v>0.5193082311733801</v>
      </c>
      <c r="U77" s="119">
        <f>'Other - Aluminum'!U19</f>
        <v>0.5193082311733801</v>
      </c>
      <c r="V77" s="119">
        <f>'Other - Aluminum'!V19</f>
        <v>0.5193082311733801</v>
      </c>
      <c r="W77" s="119">
        <f>'Other - Aluminum'!W19</f>
        <v>0.5193082311733801</v>
      </c>
      <c r="X77" s="119">
        <f>'Other - Aluminum'!X19</f>
        <v>0.5193082311733801</v>
      </c>
      <c r="Y77" s="119">
        <f>'Other - Aluminum'!Y19</f>
        <v>0.5193082311733801</v>
      </c>
      <c r="Z77" s="119">
        <f>'Other - Aluminum'!Z19</f>
        <v>0.5193082311733801</v>
      </c>
      <c r="AA77" s="119">
        <f>'Other - Aluminum'!AA19</f>
        <v>0.5193082311733801</v>
      </c>
      <c r="AB77" s="119">
        <f>'Other - Aluminum'!AB19</f>
        <v>0.5193082311733801</v>
      </c>
      <c r="AC77" s="119">
        <f>'Other - Aluminum'!AC19</f>
        <v>0.5193082311733801</v>
      </c>
      <c r="AD77" s="119">
        <f>'Other - Aluminum'!AD19</f>
        <v>0.5193082311733801</v>
      </c>
      <c r="AE77" s="119">
        <f>'Other - Aluminum'!AE19</f>
        <v>0.5193082311733801</v>
      </c>
      <c r="AF77" s="119">
        <f>'Other - Aluminum'!AF19</f>
        <v>0.5193082311733801</v>
      </c>
      <c r="AG77" s="119">
        <f>'Other - Aluminum'!AG19</f>
        <v>0.5193082311733801</v>
      </c>
      <c r="AH77" s="119">
        <f>'Other - Aluminum'!AH19</f>
        <v>0.5193082311733801</v>
      </c>
      <c r="AI77" s="119">
        <f>'Other - Aluminum'!AI19</f>
        <v>0.5193082311733801</v>
      </c>
      <c r="AJ77" s="119">
        <f>'Other - Aluminum'!AJ19</f>
        <v>0.5193082311733801</v>
      </c>
    </row>
    <row r="78" spans="1:36" x14ac:dyDescent="0.25">
      <c r="A78" s="118" t="s">
        <v>884</v>
      </c>
      <c r="B78" s="119">
        <f>'Other - Aluminum'!B18</f>
        <v>1.3340000000000001</v>
      </c>
      <c r="C78" s="119">
        <f>'Other - Aluminum'!C18</f>
        <v>1.3340000000000001</v>
      </c>
      <c r="D78" s="119">
        <f>'Other - Aluminum'!D18</f>
        <v>1.3340000000000001</v>
      </c>
      <c r="E78" s="119">
        <f>'Other - Aluminum'!E18</f>
        <v>1.3340000000000001</v>
      </c>
      <c r="F78" s="119">
        <f>'Other - Aluminum'!F18</f>
        <v>1.3340000000000001</v>
      </c>
      <c r="G78" s="119">
        <f>'Other - Aluminum'!G18</f>
        <v>1.3340000000000001</v>
      </c>
      <c r="H78" s="119">
        <f>'Other - Aluminum'!H18</f>
        <v>1.3340000000000001</v>
      </c>
      <c r="I78" s="119">
        <f>'Other - Aluminum'!I18</f>
        <v>1.3340000000000001</v>
      </c>
      <c r="J78" s="119">
        <f>'Other - Aluminum'!J18</f>
        <v>1.3340000000000001</v>
      </c>
      <c r="K78" s="119">
        <f>'Other - Aluminum'!K18</f>
        <v>1.3340000000000001</v>
      </c>
      <c r="L78" s="119">
        <f>'Other - Aluminum'!L18</f>
        <v>1.3340000000000001</v>
      </c>
      <c r="M78" s="119">
        <f>'Other - Aluminum'!M18</f>
        <v>1.3340000000000001</v>
      </c>
      <c r="N78" s="119">
        <f>'Other - Aluminum'!N18</f>
        <v>1.3340000000000001</v>
      </c>
      <c r="O78" s="119">
        <f>'Other - Aluminum'!O18</f>
        <v>1.3340000000000001</v>
      </c>
      <c r="P78" s="119">
        <f>'Other - Aluminum'!P18</f>
        <v>1.3340000000000001</v>
      </c>
      <c r="Q78" s="119">
        <f>'Other - Aluminum'!Q18</f>
        <v>1.3340000000000001</v>
      </c>
      <c r="R78" s="119">
        <f>'Other - Aluminum'!R18</f>
        <v>1.3340000000000001</v>
      </c>
      <c r="S78" s="119">
        <f>'Other - Aluminum'!S18</f>
        <v>1.3340000000000001</v>
      </c>
      <c r="T78" s="119">
        <f>'Other - Aluminum'!T18</f>
        <v>1.3340000000000001</v>
      </c>
      <c r="U78" s="119">
        <f>'Other - Aluminum'!U18</f>
        <v>1.3340000000000001</v>
      </c>
      <c r="V78" s="119">
        <f>'Other - Aluminum'!V18</f>
        <v>1.3340000000000001</v>
      </c>
      <c r="W78" s="119">
        <f>'Other - Aluminum'!W18</f>
        <v>1.3340000000000001</v>
      </c>
      <c r="X78" s="119">
        <f>'Other - Aluminum'!X18</f>
        <v>1.3340000000000001</v>
      </c>
      <c r="Y78" s="119">
        <f>'Other - Aluminum'!Y18</f>
        <v>1.3340000000000001</v>
      </c>
      <c r="Z78" s="119">
        <f>'Other - Aluminum'!Z18</f>
        <v>1.3340000000000001</v>
      </c>
      <c r="AA78" s="119">
        <f>'Other - Aluminum'!AA18</f>
        <v>1.3340000000000001</v>
      </c>
      <c r="AB78" s="119">
        <f>'Other - Aluminum'!AB18</f>
        <v>1.3340000000000001</v>
      </c>
      <c r="AC78" s="119">
        <f>'Other - Aluminum'!AC18</f>
        <v>1.3340000000000001</v>
      </c>
      <c r="AD78" s="119">
        <f>'Other - Aluminum'!AD18</f>
        <v>1.3340000000000001</v>
      </c>
      <c r="AE78" s="119">
        <f>'Other - Aluminum'!AE18</f>
        <v>1.3340000000000001</v>
      </c>
      <c r="AF78" s="119">
        <f>'Other - Aluminum'!AF18</f>
        <v>1.3340000000000001</v>
      </c>
      <c r="AG78" s="119">
        <f>'Other - Aluminum'!AG18</f>
        <v>1.3340000000000001</v>
      </c>
      <c r="AH78" s="119">
        <f>'Other - Aluminum'!AH18</f>
        <v>1.3340000000000001</v>
      </c>
      <c r="AI78" s="119">
        <f>'Other - Aluminum'!AI18</f>
        <v>1.3340000000000001</v>
      </c>
      <c r="AJ78" s="119">
        <f>'Other - Aluminum'!AJ18</f>
        <v>1.3340000000000001</v>
      </c>
    </row>
    <row r="79" spans="1:36" x14ac:dyDescent="0.25">
      <c r="A79" s="118" t="s">
        <v>852</v>
      </c>
      <c r="B79" s="119">
        <f>'Other - Magnesium'!B4</f>
        <v>1.1000000000000001</v>
      </c>
      <c r="C79" s="119">
        <f>'Other - Magnesium'!C4</f>
        <v>1.1000000000000001</v>
      </c>
      <c r="D79" s="119">
        <f>'Other - Magnesium'!D4</f>
        <v>1.1000000000000001</v>
      </c>
      <c r="E79" s="119">
        <f>'Other - Magnesium'!E4</f>
        <v>1.1000000000000001</v>
      </c>
      <c r="F79" s="119">
        <f>'Other - Magnesium'!F4</f>
        <v>1.1000000000000001</v>
      </c>
      <c r="G79" s="119">
        <f>'Other - Magnesium'!G4</f>
        <v>1.1000000000000001</v>
      </c>
      <c r="H79" s="119">
        <f>'Other - Magnesium'!H4</f>
        <v>1.1000000000000001</v>
      </c>
      <c r="I79" s="119">
        <f>'Other - Magnesium'!I4</f>
        <v>1.1000000000000001</v>
      </c>
      <c r="J79" s="119">
        <f>'Other - Magnesium'!J4</f>
        <v>1.1000000000000001</v>
      </c>
      <c r="K79" s="119">
        <f>'Other - Magnesium'!K4</f>
        <v>1.1000000000000001</v>
      </c>
      <c r="L79" s="119">
        <f>'Other - Magnesium'!L4</f>
        <v>1.1000000000000001</v>
      </c>
      <c r="M79" s="119">
        <f>'Other - Magnesium'!M4</f>
        <v>1.1000000000000001</v>
      </c>
      <c r="N79" s="119">
        <f>'Other - Magnesium'!N4</f>
        <v>1.1000000000000001</v>
      </c>
      <c r="O79" s="119">
        <f>'Other - Magnesium'!O4</f>
        <v>1.1000000000000001</v>
      </c>
      <c r="P79" s="119">
        <f>'Other - Magnesium'!P4</f>
        <v>1.1000000000000001</v>
      </c>
      <c r="Q79" s="119">
        <f>'Other - Magnesium'!Q4</f>
        <v>1.1000000000000001</v>
      </c>
      <c r="R79" s="119">
        <f>'Other - Magnesium'!R4</f>
        <v>1.1000000000000001</v>
      </c>
      <c r="S79" s="119">
        <f>'Other - Magnesium'!S4</f>
        <v>1.1000000000000001</v>
      </c>
      <c r="T79" s="119">
        <f>'Other - Magnesium'!T4</f>
        <v>1.1000000000000001</v>
      </c>
      <c r="U79" s="119">
        <f>'Other - Magnesium'!U4</f>
        <v>1.1000000000000001</v>
      </c>
      <c r="V79" s="119">
        <f>'Other - Magnesium'!V4</f>
        <v>1.1000000000000001</v>
      </c>
      <c r="W79" s="119">
        <f>'Other - Magnesium'!W4</f>
        <v>1.1000000000000001</v>
      </c>
      <c r="X79" s="119">
        <f>'Other - Magnesium'!X4</f>
        <v>1.1000000000000001</v>
      </c>
      <c r="Y79" s="119">
        <f>'Other - Magnesium'!Y4</f>
        <v>1.1000000000000001</v>
      </c>
      <c r="Z79" s="119">
        <f>'Other - Magnesium'!Z4</f>
        <v>1.1000000000000001</v>
      </c>
      <c r="AA79" s="119">
        <f>'Other - Magnesium'!AA4</f>
        <v>1.1000000000000001</v>
      </c>
      <c r="AB79" s="119">
        <f>'Other - Magnesium'!AB4</f>
        <v>1.1000000000000001</v>
      </c>
      <c r="AC79" s="119">
        <f>'Other - Magnesium'!AC4</f>
        <v>1.1000000000000001</v>
      </c>
      <c r="AD79" s="119">
        <f>'Other - Magnesium'!AD4</f>
        <v>1.1000000000000001</v>
      </c>
      <c r="AE79" s="119">
        <f>'Other - Magnesium'!AE4</f>
        <v>1.1000000000000001</v>
      </c>
      <c r="AF79" s="119">
        <f>'Other - Magnesium'!AF4</f>
        <v>1.1000000000000001</v>
      </c>
      <c r="AG79" s="119">
        <f>'Other - Magnesium'!AG4</f>
        <v>1.1000000000000001</v>
      </c>
      <c r="AH79" s="119">
        <f>'Other - Magnesium'!AH4</f>
        <v>1.1000000000000001</v>
      </c>
      <c r="AI79" s="119">
        <f>'Other - Magnesium'!AI4</f>
        <v>1.1000000000000001</v>
      </c>
      <c r="AJ79" s="119">
        <f>'Other - Magnesium'!AJ4</f>
        <v>1.1000000000000001</v>
      </c>
    </row>
    <row r="80" spans="1:36" x14ac:dyDescent="0.25">
      <c r="A80" s="118" t="s">
        <v>885</v>
      </c>
      <c r="B80" s="119">
        <f>'Other - Magnesium'!B3</f>
        <v>3.0000000000000001E-3</v>
      </c>
      <c r="C80" s="119">
        <f>'Other - Magnesium'!C3</f>
        <v>3.0000000000000001E-3</v>
      </c>
      <c r="D80" s="119">
        <f>'Other - Magnesium'!D3</f>
        <v>3.0000000000000001E-3</v>
      </c>
      <c r="E80" s="119">
        <f>'Other - Magnesium'!E3</f>
        <v>3.0000000000000001E-3</v>
      </c>
      <c r="F80" s="119">
        <f>'Other - Magnesium'!F3</f>
        <v>3.0000000000000001E-3</v>
      </c>
      <c r="G80" s="119">
        <f>'Other - Magnesium'!G3</f>
        <v>3.0000000000000001E-3</v>
      </c>
      <c r="H80" s="119">
        <f>'Other - Magnesium'!H3</f>
        <v>3.0000000000000001E-3</v>
      </c>
      <c r="I80" s="119">
        <f>'Other - Magnesium'!I3</f>
        <v>3.0000000000000001E-3</v>
      </c>
      <c r="J80" s="119">
        <f>'Other - Magnesium'!J3</f>
        <v>3.0000000000000001E-3</v>
      </c>
      <c r="K80" s="119">
        <f>'Other - Magnesium'!K3</f>
        <v>3.0000000000000001E-3</v>
      </c>
      <c r="L80" s="119">
        <f>'Other - Magnesium'!L3</f>
        <v>3.0000000000000001E-3</v>
      </c>
      <c r="M80" s="119">
        <f>'Other - Magnesium'!M3</f>
        <v>3.0000000000000001E-3</v>
      </c>
      <c r="N80" s="119">
        <f>'Other - Magnesium'!N3</f>
        <v>3.0000000000000001E-3</v>
      </c>
      <c r="O80" s="119">
        <f>'Other - Magnesium'!O3</f>
        <v>3.0000000000000001E-3</v>
      </c>
      <c r="P80" s="119">
        <f>'Other - Magnesium'!P3</f>
        <v>3.0000000000000001E-3</v>
      </c>
      <c r="Q80" s="119">
        <f>'Other - Magnesium'!Q3</f>
        <v>3.0000000000000001E-3</v>
      </c>
      <c r="R80" s="119">
        <f>'Other - Magnesium'!R3</f>
        <v>3.0000000000000001E-3</v>
      </c>
      <c r="S80" s="119">
        <f>'Other - Magnesium'!S3</f>
        <v>3.0000000000000001E-3</v>
      </c>
      <c r="T80" s="119">
        <f>'Other - Magnesium'!T3</f>
        <v>3.0000000000000001E-3</v>
      </c>
      <c r="U80" s="119">
        <f>'Other - Magnesium'!U3</f>
        <v>3.0000000000000001E-3</v>
      </c>
      <c r="V80" s="119">
        <f>'Other - Magnesium'!V3</f>
        <v>3.0000000000000001E-3</v>
      </c>
      <c r="W80" s="119">
        <f>'Other - Magnesium'!W3</f>
        <v>3.0000000000000001E-3</v>
      </c>
      <c r="X80" s="119">
        <f>'Other - Magnesium'!X3</f>
        <v>3.0000000000000001E-3</v>
      </c>
      <c r="Y80" s="119">
        <f>'Other - Magnesium'!Y3</f>
        <v>3.0000000000000001E-3</v>
      </c>
      <c r="Z80" s="119">
        <f>'Other - Magnesium'!Z3</f>
        <v>3.0000000000000001E-3</v>
      </c>
      <c r="AA80" s="119">
        <f>'Other - Magnesium'!AA3</f>
        <v>3.0000000000000001E-3</v>
      </c>
      <c r="AB80" s="119">
        <f>'Other - Magnesium'!AB3</f>
        <v>3.0000000000000001E-3</v>
      </c>
      <c r="AC80" s="119">
        <f>'Other - Magnesium'!AC3</f>
        <v>3.0000000000000001E-3</v>
      </c>
      <c r="AD80" s="119">
        <f>'Other - Magnesium'!AD3</f>
        <v>3.0000000000000001E-3</v>
      </c>
      <c r="AE80" s="119">
        <f>'Other - Magnesium'!AE3</f>
        <v>3.0000000000000001E-3</v>
      </c>
      <c r="AF80" s="119">
        <f>'Other - Magnesium'!AF3</f>
        <v>3.0000000000000001E-3</v>
      </c>
      <c r="AG80" s="119">
        <f>'Other - Magnesium'!AG3</f>
        <v>3.0000000000000001E-3</v>
      </c>
      <c r="AH80" s="119">
        <f>'Other - Magnesium'!AH3</f>
        <v>3.0000000000000001E-3</v>
      </c>
      <c r="AI80" s="119">
        <f>'Other - Magnesium'!AI3</f>
        <v>3.0000000000000001E-3</v>
      </c>
      <c r="AJ80" s="119">
        <f>'Other - Magnesium'!AJ3</f>
        <v>3.0000000000000001E-3</v>
      </c>
    </row>
    <row r="81" spans="1:36" x14ac:dyDescent="0.25">
      <c r="A81" s="118" t="s">
        <v>853</v>
      </c>
      <c r="B81" s="119">
        <f>'Other - Elec Trans and Dist'!C45</f>
        <v>4.6199955915155417</v>
      </c>
      <c r="C81" s="119">
        <f>'Other - Elec Trans and Dist'!D45</f>
        <v>4.5462788955050009</v>
      </c>
      <c r="D81" s="119">
        <f>'Other - Elec Trans and Dist'!E45</f>
        <v>4.478678628327617</v>
      </c>
      <c r="E81" s="119">
        <f>'Other - Elec Trans and Dist'!F45</f>
        <v>4.4170450248469644</v>
      </c>
      <c r="F81" s="119">
        <f>'Other - Elec Trans and Dist'!G45</f>
        <v>4.3612490639090442</v>
      </c>
      <c r="G81" s="119">
        <f>'Other - Elec Trans and Dist'!H45</f>
        <v>4.3111818010176854</v>
      </c>
      <c r="H81" s="119">
        <f>'Other - Elec Trans and Dist'!I45</f>
        <v>4.2667538030568384</v>
      </c>
      <c r="I81" s="119">
        <f>'Other - Elec Trans and Dist'!J45</f>
        <v>4.2278946805219118</v>
      </c>
      <c r="J81" s="119">
        <f>'Other - Elec Trans and Dist'!K45</f>
        <v>4.19455271329943</v>
      </c>
      <c r="K81" s="119">
        <f>'Other - Elec Trans and Dist'!L45</f>
        <v>4.166694566579622</v>
      </c>
      <c r="L81" s="119">
        <f>'Other - Elec Trans and Dist'!M45</f>
        <v>4.1443050940034469</v>
      </c>
      <c r="M81" s="119">
        <f>'Other - Elec Trans and Dist'!N45</f>
        <v>4.1273872256373938</v>
      </c>
      <c r="N81" s="119">
        <f>'Other - Elec Trans and Dist'!O45</f>
        <v>4.1159619388390078</v>
      </c>
      <c r="O81" s="119">
        <f>'Other - Elec Trans and Dist'!P45</f>
        <v>4.1100683105264846</v>
      </c>
      <c r="P81" s="119">
        <f>'Other - Elec Trans and Dist'!Q45</f>
        <v>4.1097636497994703</v>
      </c>
      <c r="Q81" s="119">
        <f>'Other - Elec Trans and Dist'!R45</f>
        <v>4.1151237102779454</v>
      </c>
      <c r="R81" s="119">
        <f>'Other - Elec Trans and Dist'!S45</f>
        <v>4.1262429819342374</v>
      </c>
      <c r="S81" s="119">
        <f>'Other - Elec Trans and Dist'!T45</f>
        <v>4.143235062592006</v>
      </c>
      <c r="T81" s="119">
        <f>'Other - Elec Trans and Dist'!U45</f>
        <v>4.1662331096578997</v>
      </c>
      <c r="U81" s="119">
        <f>'Other - Elec Trans and Dist'!V45</f>
        <v>4.1953903730383377</v>
      </c>
      <c r="V81" s="119">
        <f>'Other - Elec Trans and Dist'!W45</f>
        <v>4.2308808105779061</v>
      </c>
      <c r="W81" s="119">
        <f>'Other - Elec Trans and Dist'!X45</f>
        <v>4.2728997877389503</v>
      </c>
      <c r="X81" s="119">
        <f>'Other - Elec Trans and Dist'!Y45</f>
        <v>4.3216648636261557</v>
      </c>
      <c r="Y81" s="119">
        <f>'Other - Elec Trans and Dist'!Z45</f>
        <v>4.377416665847206</v>
      </c>
      <c r="Z81" s="119">
        <f>'Other - Elec Trans and Dist'!AA45</f>
        <v>4.4404198570927722</v>
      </c>
      <c r="AA81" s="119">
        <f>'Other - Elec Trans and Dist'!AB45</f>
        <v>4.5109641967181417</v>
      </c>
      <c r="AB81" s="119">
        <f>'Other - Elec Trans and Dist'!AC45</f>
        <v>4.5893657010165523</v>
      </c>
      <c r="AC81" s="119">
        <f>'Other - Elec Trans and Dist'!AD45</f>
        <v>4.6759679062926276</v>
      </c>
      <c r="AD81" s="119">
        <f>'Other - Elec Trans and Dist'!AE45</f>
        <v>4.7711432392752382</v>
      </c>
      <c r="AE81" s="119">
        <f>'Other - Elec Trans and Dist'!AF45</f>
        <v>4.8752944998543626</v>
      </c>
      <c r="AF81" s="119">
        <f>'Other - Elec Trans and Dist'!AG45</f>
        <v>4.9888564615883251</v>
      </c>
      <c r="AG81" s="119">
        <f>'Other - Elec Trans and Dist'!AH45</f>
        <v>5.1122975959078847</v>
      </c>
      <c r="AH81" s="119">
        <f>'Other - Elec Trans and Dist'!AI45</f>
        <v>5.2461219264442711</v>
      </c>
      <c r="AI81" s="119">
        <f>'Other - Elec Trans and Dist'!AJ45</f>
        <v>5.3908710204315327</v>
      </c>
      <c r="AJ81" s="119">
        <f>'Other - Elec Trans and Dist'!AK45</f>
        <v>5.5471261246814816</v>
      </c>
    </row>
    <row r="82" spans="1:36" x14ac:dyDescent="0.25">
      <c r="A82" s="118" t="s">
        <v>1582</v>
      </c>
      <c r="B82" s="119">
        <f>'Other Industrial Processes'!D533/1000</f>
        <v>23.619</v>
      </c>
      <c r="C82" s="119">
        <f>'Other Industrial Processes'!E533/1000</f>
        <v>24.202648731399567</v>
      </c>
      <c r="D82" s="119">
        <f>'Other Industrial Processes'!F533/1000</f>
        <v>24.572619708396363</v>
      </c>
      <c r="E82" s="119">
        <f>'Other Industrial Processes'!G533/1000</f>
        <v>24.94516144296249</v>
      </c>
      <c r="F82" s="119">
        <f>'Other Industrial Processes'!H533/1000</f>
        <v>25.320216433665991</v>
      </c>
      <c r="G82" s="119">
        <f>'Other Industrial Processes'!I533/1000</f>
        <v>25.697728700928899</v>
      </c>
      <c r="H82" s="119">
        <f>'Other Industrial Processes'!J533/1000</f>
        <v>26.077643743241605</v>
      </c>
      <c r="I82" s="119">
        <f>'Other Industrial Processes'!K533/1000</f>
        <v>26.459908494711765</v>
      </c>
      <c r="J82" s="119">
        <f>'Other Industrial Processes'!L533/1000</f>
        <v>26.8444712839059</v>
      </c>
      <c r="K82" s="119">
        <f>'Other Industrial Processes'!M533/1000</f>
        <v>27.231281793943133</v>
      </c>
      <c r="L82" s="119">
        <f>'Other Industrial Processes'!N533/1000</f>
        <v>27.620291023801915</v>
      </c>
      <c r="M82" s="119">
        <f>'Other Industrial Processes'!O533/1000</f>
        <v>28.011451250801674</v>
      </c>
      <c r="N82" s="119">
        <f>'Other Industrial Processes'!P533/1000</f>
        <v>28.404715994222645</v>
      </c>
      <c r="O82" s="119">
        <f>'Other Industrial Processes'!Q533/1000</f>
        <v>28.800039980028295</v>
      </c>
      <c r="P82" s="119">
        <f>'Other Industrial Processes'!R533/1000</f>
        <v>29.197379106655834</v>
      </c>
      <c r="Q82" s="119">
        <f>'Other Industrial Processes'!S533/1000</f>
        <v>29.596690411841568</v>
      </c>
      <c r="R82" s="119">
        <f>'Other Industrial Processes'!T533/1000</f>
        <v>29.99793204044845</v>
      </c>
      <c r="S82" s="119">
        <f>'Other Industrial Processes'!U533/1000</f>
        <v>30.40106321326498</v>
      </c>
      <c r="T82" s="119">
        <f>'Other Industrial Processes'!V533/1000</f>
        <v>30.806044196744782</v>
      </c>
      <c r="U82" s="119">
        <f>'Other Industrial Processes'!W533/1000</f>
        <v>31.212836273657718</v>
      </c>
      <c r="V82" s="119">
        <f>'Other Industrial Processes'!X533/1000</f>
        <v>31.621401714624149</v>
      </c>
      <c r="W82" s="119">
        <f>'Other Industrial Processes'!Y533/1000</f>
        <v>32.031703750504661</v>
      </c>
      <c r="X82" s="119">
        <f>'Other Industrial Processes'!Z533/1000</f>
        <v>32.443706545618795</v>
      </c>
      <c r="Y82" s="119">
        <f>'Other Industrial Processes'!AA533/1000</f>
        <v>32.857375171767018</v>
      </c>
      <c r="Z82" s="119">
        <f>'Other Industrial Processes'!AB533/1000</f>
        <v>33.272675583030704</v>
      </c>
      <c r="AA82" s="119">
        <f>'Other Industrial Processes'!AC533/1000</f>
        <v>33.68957459132632</v>
      </c>
      <c r="AB82" s="119">
        <f>'Other Industrial Processes'!AD533/1000</f>
        <v>34.10803984269009</v>
      </c>
      <c r="AC82" s="119">
        <f>'Other Industrial Processes'!AE533/1000</f>
        <v>34.528039794270619</v>
      </c>
      <c r="AD82" s="119">
        <f>'Other Industrial Processes'!AF533/1000</f>
        <v>34.949543692007545</v>
      </c>
      <c r="AE82" s="119">
        <f>'Other Industrial Processes'!AG533/1000</f>
        <v>35.372521548974795</v>
      </c>
      <c r="AF82" s="119">
        <f>'Other Industrial Processes'!AH533/1000</f>
        <v>35.796944124368068</v>
      </c>
      <c r="AG82" s="119">
        <f>'Other Industrial Processes'!AI533/1000</f>
        <v>36.222782903116446</v>
      </c>
      <c r="AH82" s="119">
        <f>'Other Industrial Processes'!AJ533/1000</f>
        <v>36.650010076099001</v>
      </c>
      <c r="AI82" s="119">
        <f>'Other Industrial Processes'!AK533/1000</f>
        <v>37.078598520947402</v>
      </c>
      <c r="AJ82" s="119">
        <f>'Other Industrial Processes'!AL533/1000</f>
        <v>37.508521783416832</v>
      </c>
    </row>
    <row r="83" spans="1:36" x14ac:dyDescent="0.25">
      <c r="A83" s="134" t="s">
        <v>1726</v>
      </c>
      <c r="B83" s="119">
        <f>'Other Industrial Processes'!D534*N2O_to_CO2e/1000</f>
        <v>3.71</v>
      </c>
      <c r="C83" s="119">
        <f>'Other Industrial Processes'!E534*N2O_to_CO2e/1000</f>
        <v>3.71</v>
      </c>
      <c r="D83" s="119">
        <f>'Other Industrial Processes'!F534*N2O_to_CO2e/1000</f>
        <v>3.71</v>
      </c>
      <c r="E83" s="119">
        <f>'Other Industrial Processes'!G534*N2O_to_CO2e/1000</f>
        <v>3.71</v>
      </c>
      <c r="F83" s="119">
        <f>'Other Industrial Processes'!H534*N2O_to_CO2e/1000</f>
        <v>3.71</v>
      </c>
      <c r="G83" s="119">
        <f>'Other Industrial Processes'!I534*N2O_to_CO2e/1000</f>
        <v>3.71</v>
      </c>
      <c r="H83" s="119">
        <f>'Other Industrial Processes'!J534*N2O_to_CO2e/1000</f>
        <v>3.71</v>
      </c>
      <c r="I83" s="119">
        <f>'Other Industrial Processes'!K534*N2O_to_CO2e/1000</f>
        <v>3.71</v>
      </c>
      <c r="J83" s="119">
        <f>'Other Industrial Processes'!L534*N2O_to_CO2e/1000</f>
        <v>3.71</v>
      </c>
      <c r="K83" s="119">
        <f>'Other Industrial Processes'!M534*N2O_to_CO2e/1000</f>
        <v>3.71</v>
      </c>
      <c r="L83" s="119">
        <f>'Other Industrial Processes'!N534*N2O_to_CO2e/1000</f>
        <v>3.71</v>
      </c>
      <c r="M83" s="119">
        <f>'Other Industrial Processes'!O534*N2O_to_CO2e/1000</f>
        <v>3.71</v>
      </c>
      <c r="N83" s="119">
        <f>'Other Industrial Processes'!P534*N2O_to_CO2e/1000</f>
        <v>3.71</v>
      </c>
      <c r="O83" s="119">
        <f>'Other Industrial Processes'!Q534*N2O_to_CO2e/1000</f>
        <v>3.71</v>
      </c>
      <c r="P83" s="119">
        <f>'Other Industrial Processes'!R534*N2O_to_CO2e/1000</f>
        <v>3.71</v>
      </c>
      <c r="Q83" s="119">
        <f>'Other Industrial Processes'!S534*N2O_to_CO2e/1000</f>
        <v>3.71</v>
      </c>
      <c r="R83" s="119">
        <f>'Other Industrial Processes'!T534*N2O_to_CO2e/1000</f>
        <v>3.71</v>
      </c>
      <c r="S83" s="119">
        <f>'Other Industrial Processes'!U534*N2O_to_CO2e/1000</f>
        <v>3.71</v>
      </c>
      <c r="T83" s="119">
        <f>'Other Industrial Processes'!V534*N2O_to_CO2e/1000</f>
        <v>3.71</v>
      </c>
      <c r="U83" s="119">
        <f>'Other Industrial Processes'!W534*N2O_to_CO2e/1000</f>
        <v>3.71</v>
      </c>
      <c r="V83" s="119">
        <f>'Other Industrial Processes'!X534*N2O_to_CO2e/1000</f>
        <v>3.71</v>
      </c>
      <c r="W83" s="119">
        <f>'Other Industrial Processes'!Y534*N2O_to_CO2e/1000</f>
        <v>3.71</v>
      </c>
      <c r="X83" s="119">
        <f>'Other Industrial Processes'!Z534*N2O_to_CO2e/1000</f>
        <v>3.71</v>
      </c>
      <c r="Y83" s="119">
        <f>'Other Industrial Processes'!AA534*N2O_to_CO2e/1000</f>
        <v>3.71</v>
      </c>
      <c r="Z83" s="119">
        <f>'Other Industrial Processes'!AB534*N2O_to_CO2e/1000</f>
        <v>3.71</v>
      </c>
      <c r="AA83" s="119">
        <f>'Other Industrial Processes'!AC534*N2O_to_CO2e/1000</f>
        <v>3.71</v>
      </c>
      <c r="AB83" s="119">
        <f>'Other Industrial Processes'!AD534*N2O_to_CO2e/1000</f>
        <v>3.71</v>
      </c>
      <c r="AC83" s="119">
        <f>'Other Industrial Processes'!AE534*N2O_to_CO2e/1000</f>
        <v>3.71</v>
      </c>
      <c r="AD83" s="119">
        <f>'Other Industrial Processes'!AF534*N2O_to_CO2e/1000</f>
        <v>3.71</v>
      </c>
      <c r="AE83" s="119">
        <f>'Other Industrial Processes'!AG534*N2O_to_CO2e/1000</f>
        <v>3.71</v>
      </c>
      <c r="AF83" s="119">
        <f>'Other Industrial Processes'!AH534*N2O_to_CO2e/1000</f>
        <v>3.71</v>
      </c>
      <c r="AG83" s="119">
        <f>'Other Industrial Processes'!AI534*N2O_to_CO2e/1000</f>
        <v>3.71</v>
      </c>
      <c r="AH83" s="119">
        <f>'Other Industrial Processes'!AJ534*N2O_to_CO2e/1000</f>
        <v>3.71</v>
      </c>
      <c r="AI83" s="119">
        <f>'Other Industrial Processes'!AK534*N2O_to_CO2e/1000</f>
        <v>3.71</v>
      </c>
      <c r="AJ83" s="119">
        <f>'Other Industrial Processes'!AL534*N2O_to_CO2e/1000</f>
        <v>3.71</v>
      </c>
    </row>
    <row r="84" spans="1:36" x14ac:dyDescent="0.25">
      <c r="A84" s="134" t="s">
        <v>1589</v>
      </c>
      <c r="B84" s="138">
        <f>'Other Industrial Processes'!D532*CH4_to_CO2e/1000</f>
        <v>2.8000000000000001E-2</v>
      </c>
      <c r="C84" s="138">
        <f>'Other Industrial Processes'!E532*CH4_to_CO2e/1000</f>
        <v>3.0800000000000004E-2</v>
      </c>
      <c r="D84" s="138">
        <f>'Other Industrial Processes'!F532*CH4_to_CO2e/1000</f>
        <v>3.3600000000000012E-2</v>
      </c>
      <c r="E84" s="138">
        <f>'Other Industrial Processes'!G532*CH4_to_CO2e/1000</f>
        <v>3.6400000000000009E-2</v>
      </c>
      <c r="F84" s="138">
        <f>'Other Industrial Processes'!H532*CH4_to_CO2e/1000</f>
        <v>3.9200000000000013E-2</v>
      </c>
      <c r="G84" s="138">
        <f>'Other Industrial Processes'!I532*CH4_to_CO2e/1000</f>
        <v>4.2000000000000016E-2</v>
      </c>
      <c r="H84" s="138">
        <f>'Other Industrial Processes'!J532*CH4_to_CO2e/1000</f>
        <v>4.4800000000000013E-2</v>
      </c>
      <c r="I84" s="138">
        <f>'Other Industrial Processes'!K532*CH4_to_CO2e/1000</f>
        <v>4.7600000000000017E-2</v>
      </c>
      <c r="J84" s="138">
        <f>'Other Industrial Processes'!L532*CH4_to_CO2e/1000</f>
        <v>5.0400000000000021E-2</v>
      </c>
      <c r="K84" s="138">
        <f>'Other Industrial Processes'!M532*CH4_to_CO2e/1000</f>
        <v>5.3200000000000025E-2</v>
      </c>
      <c r="L84" s="138">
        <f>'Other Industrial Processes'!N532*CH4_to_CO2e/1000</f>
        <v>5.6000000000000029E-2</v>
      </c>
      <c r="M84" s="138">
        <f>'Other Industrial Processes'!O532*CH4_to_CO2e/1000</f>
        <v>5.8800000000000026E-2</v>
      </c>
      <c r="N84" s="138">
        <f>'Other Industrial Processes'!P532*CH4_to_CO2e/1000</f>
        <v>6.160000000000003E-2</v>
      </c>
      <c r="O84" s="138">
        <f>'Other Industrial Processes'!Q532*CH4_to_CO2e/1000</f>
        <v>6.4400000000000041E-2</v>
      </c>
      <c r="P84" s="138">
        <f>'Other Industrial Processes'!R532*CH4_to_CO2e/1000</f>
        <v>6.7200000000000037E-2</v>
      </c>
      <c r="Q84" s="138">
        <f>'Other Industrial Processes'!S532*CH4_to_CO2e/1000</f>
        <v>7.0000000000000048E-2</v>
      </c>
      <c r="R84" s="138">
        <f>'Other Industrial Processes'!T532*CH4_to_CO2e/1000</f>
        <v>7.2800000000000045E-2</v>
      </c>
      <c r="S84" s="138">
        <f>'Other Industrial Processes'!U532*CH4_to_CO2e/1000</f>
        <v>7.5600000000000042E-2</v>
      </c>
      <c r="T84" s="138">
        <f>'Other Industrial Processes'!V532*CH4_to_CO2e/1000</f>
        <v>7.8400000000000053E-2</v>
      </c>
      <c r="U84" s="138">
        <f>'Other Industrial Processes'!W532*CH4_to_CO2e/1000</f>
        <v>8.120000000000005E-2</v>
      </c>
      <c r="V84" s="138">
        <f>'Other Industrial Processes'!X532*CH4_to_CO2e/1000</f>
        <v>8.4000000000000061E-2</v>
      </c>
      <c r="W84" s="138">
        <f>'Other Industrial Processes'!Y532*CH4_to_CO2e/1000</f>
        <v>8.6800000000000058E-2</v>
      </c>
      <c r="X84" s="138">
        <f>'Other Industrial Processes'!Z532*CH4_to_CO2e/1000</f>
        <v>8.9600000000000055E-2</v>
      </c>
      <c r="Y84" s="138">
        <f>'Other Industrial Processes'!AA532*CH4_to_CO2e/1000</f>
        <v>9.2400000000000065E-2</v>
      </c>
      <c r="Z84" s="138">
        <f>'Other Industrial Processes'!AB532*CH4_to_CO2e/1000</f>
        <v>9.5200000000000062E-2</v>
      </c>
      <c r="AA84" s="138">
        <f>'Other Industrial Processes'!AC532*CH4_to_CO2e/1000</f>
        <v>9.8000000000000059E-2</v>
      </c>
      <c r="AB84" s="138">
        <f>'Other Industrial Processes'!AD532*CH4_to_CO2e/1000</f>
        <v>0.10080000000000007</v>
      </c>
      <c r="AC84" s="138">
        <f>'Other Industrial Processes'!AE532*CH4_to_CO2e/1000</f>
        <v>0.10360000000000007</v>
      </c>
      <c r="AD84" s="138">
        <f>'Other Industrial Processes'!AF532*CH4_to_CO2e/1000</f>
        <v>0.10640000000000006</v>
      </c>
      <c r="AE84" s="138">
        <f>'Other Industrial Processes'!AG532*CH4_to_CO2e/1000</f>
        <v>0.10920000000000007</v>
      </c>
      <c r="AF84" s="138">
        <f>'Other Industrial Processes'!AH532*CH4_to_CO2e/1000</f>
        <v>0.11200000000000007</v>
      </c>
      <c r="AG84" s="138">
        <f>'Other Industrial Processes'!AI532*CH4_to_CO2e/1000</f>
        <v>0.11480000000000007</v>
      </c>
      <c r="AH84" s="138">
        <f>'Other Industrial Processes'!AJ532*CH4_to_CO2e/1000</f>
        <v>0.11760000000000005</v>
      </c>
      <c r="AI84" s="138">
        <f>'Other Industrial Processes'!AK532*CH4_to_CO2e/1000</f>
        <v>0.12040000000000005</v>
      </c>
      <c r="AJ84" s="138">
        <f>'Other Industrial Processes'!AL532*CH4_to_CO2e/1000</f>
        <v>0.12320000000000003</v>
      </c>
    </row>
  </sheetData>
  <pageMargins left="0.75" right="0.75" top="1" bottom="1" header="0.5" footer="0.5"/>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I36"/>
  <sheetViews>
    <sheetView topLeftCell="A20" workbookViewId="0">
      <selection activeCell="I36" sqref="B2:I36"/>
    </sheetView>
  </sheetViews>
  <sheetFormatPr defaultColWidth="10.28515625" defaultRowHeight="15" x14ac:dyDescent="0.25"/>
  <cols>
    <col min="1" max="1" width="10.28515625" style="108"/>
    <col min="2" max="9" width="20.140625" style="108" customWidth="1"/>
    <col min="10" max="16384" width="10.28515625" style="106"/>
  </cols>
  <sheetData>
    <row r="1" spans="1:9" x14ac:dyDescent="0.25">
      <c r="A1" s="108" t="s">
        <v>240</v>
      </c>
      <c r="B1" s="108" t="s">
        <v>854</v>
      </c>
      <c r="C1" s="108" t="s">
        <v>855</v>
      </c>
      <c r="D1" s="108" t="s">
        <v>856</v>
      </c>
      <c r="E1" s="108" t="s">
        <v>857</v>
      </c>
      <c r="F1" s="108" t="s">
        <v>858</v>
      </c>
      <c r="G1" s="108" t="s">
        <v>859</v>
      </c>
      <c r="H1" s="108" t="s">
        <v>860</v>
      </c>
      <c r="I1" s="108" t="s">
        <v>861</v>
      </c>
    </row>
    <row r="2" spans="1:9" x14ac:dyDescent="0.25">
      <c r="A2" s="108">
        <v>2016</v>
      </c>
      <c r="B2" s="364">
        <f>INDEX('Combined Data'!$B$4:$AJ$4,1,MATCH('BPEiC-CO2'!$A2,'Combined Data'!$B$2:$AJ$2))*10^12</f>
        <v>63463200000000</v>
      </c>
      <c r="C2" s="364">
        <f>INDEX('Combined Data'!$B$10:$AJ$10,1,MATCH('BPEiC-CO2'!$A2,'Combined Data'!$B$2:$AJ$2))*10^12</f>
        <v>93120451068393.313</v>
      </c>
      <c r="D2" s="364">
        <f>INDEX('Combined Data'!$B$19:$AJ$19,1,MATCH('BPEiC-CO2'!$A2,'Combined Data'!$B$2:$AJ$2))*10^12</f>
        <v>51705999999999.992</v>
      </c>
      <c r="E2" s="364">
        <f>INDEX('Combined Data'!$B$29:$AJ$29,1,MATCH('BPEiC-CO2'!$A2,'Combined Data'!$B$2:$AJ$2))*10^12</f>
        <v>103109000000000.03</v>
      </c>
      <c r="F2" s="364">
        <v>0</v>
      </c>
      <c r="G2" s="364">
        <v>0</v>
      </c>
      <c r="H2" s="364">
        <v>0</v>
      </c>
      <c r="I2" s="364">
        <f>INDEX('Combined Data'!$B$72:$AJ$72,1,MATCH('BPEiC-CO2'!$A2,'Combined Data'!$B$2:$AJ$2))*10^12</f>
        <v>24956000000000</v>
      </c>
    </row>
    <row r="3" spans="1:9" x14ac:dyDescent="0.25">
      <c r="A3" s="108">
        <v>2017</v>
      </c>
      <c r="B3" s="364">
        <f>INDEX('Combined Data'!$B$4:$AJ$4,1,MATCH('BPEiC-CO2'!$A3,'Combined Data'!$B$2:$AJ$2))*10^12</f>
        <v>64631574114054.031</v>
      </c>
      <c r="C3" s="364">
        <f>INDEX('Combined Data'!$B$10:$AJ$10,1,MATCH('BPEiC-CO2'!$A3,'Combined Data'!$B$2:$AJ$2))*10^12</f>
        <v>97083175093001.141</v>
      </c>
      <c r="D3" s="364">
        <f>INDEX('Combined Data'!$B$19:$AJ$19,1,MATCH('BPEiC-CO2'!$A3,'Combined Data'!$B$2:$AJ$2))*10^12</f>
        <v>49749415984830.555</v>
      </c>
      <c r="E3" s="364">
        <f>INDEX('Combined Data'!$B$29:$AJ$29,1,MATCH('BPEiC-CO2'!$A3,'Combined Data'!$B$2:$AJ$2))*10^12</f>
        <v>109743169162816.86</v>
      </c>
      <c r="F3" s="364">
        <v>0</v>
      </c>
      <c r="G3" s="364">
        <v>0</v>
      </c>
      <c r="H3" s="364">
        <v>0</v>
      </c>
      <c r="I3" s="364">
        <f>INDEX('Combined Data'!$B$72:$AJ$72,1,MATCH('BPEiC-CO2'!$A3,'Combined Data'!$B$2:$AJ$2))*10^12</f>
        <v>25539648731399.566</v>
      </c>
    </row>
    <row r="4" spans="1:9" x14ac:dyDescent="0.25">
      <c r="A4" s="108">
        <v>2018</v>
      </c>
      <c r="B4" s="364">
        <f>INDEX('Combined Data'!$B$4:$AJ$4,1,MATCH('BPEiC-CO2'!$A4,'Combined Data'!$B$2:$AJ$2))*10^12</f>
        <v>66406958506414.641</v>
      </c>
      <c r="C4" s="364">
        <f>INDEX('Combined Data'!$B$10:$AJ$10,1,MATCH('BPEiC-CO2'!$A4,'Combined Data'!$B$2:$AJ$2))*10^12</f>
        <v>101834943269882.56</v>
      </c>
      <c r="D4" s="364">
        <f>INDEX('Combined Data'!$B$19:$AJ$19,1,MATCH('BPEiC-CO2'!$A4,'Combined Data'!$B$2:$AJ$2))*10^12</f>
        <v>54178824559502.469</v>
      </c>
      <c r="E4" s="364">
        <f>INDEX('Combined Data'!$B$29:$AJ$29,1,MATCH('BPEiC-CO2'!$A4,'Combined Data'!$B$2:$AJ$2))*10^12</f>
        <v>115459607714596.44</v>
      </c>
      <c r="F4" s="364">
        <v>0</v>
      </c>
      <c r="G4" s="364">
        <v>0</v>
      </c>
      <c r="H4" s="364">
        <v>0</v>
      </c>
      <c r="I4" s="364">
        <f>INDEX('Combined Data'!$B$72:$AJ$72,1,MATCH('BPEiC-CO2'!$A4,'Combined Data'!$B$2:$AJ$2))*10^12</f>
        <v>25909619708396.363</v>
      </c>
    </row>
    <row r="5" spans="1:9" x14ac:dyDescent="0.25">
      <c r="A5" s="108">
        <v>2019</v>
      </c>
      <c r="B5" s="364">
        <f>INDEX('Combined Data'!$B$4:$AJ$4,1,MATCH('BPEiC-CO2'!$A5,'Combined Data'!$B$2:$AJ$2))*10^12</f>
        <v>68737709614676.219</v>
      </c>
      <c r="C5" s="364">
        <f>INDEX('Combined Data'!$B$10:$AJ$10,1,MATCH('BPEiC-CO2'!$A5,'Combined Data'!$B$2:$AJ$2))*10^12</f>
        <v>106721177664215.33</v>
      </c>
      <c r="D5" s="364">
        <f>INDEX('Combined Data'!$B$19:$AJ$19,1,MATCH('BPEiC-CO2'!$A5,'Combined Data'!$B$2:$AJ$2))*10^12</f>
        <v>54247967758791.156</v>
      </c>
      <c r="E5" s="364">
        <f>INDEX('Combined Data'!$B$29:$AJ$29,1,MATCH('BPEiC-CO2'!$A5,'Combined Data'!$B$2:$AJ$2))*10^12</f>
        <v>120698623366409.91</v>
      </c>
      <c r="F5" s="364">
        <v>0</v>
      </c>
      <c r="G5" s="364">
        <v>0</v>
      </c>
      <c r="H5" s="364">
        <v>0</v>
      </c>
      <c r="I5" s="364">
        <f>INDEX('Combined Data'!$B$72:$AJ$72,1,MATCH('BPEiC-CO2'!$A5,'Combined Data'!$B$2:$AJ$2))*10^12</f>
        <v>26282161442962.488</v>
      </c>
    </row>
    <row r="6" spans="1:9" x14ac:dyDescent="0.25">
      <c r="A6" s="108">
        <v>2020</v>
      </c>
      <c r="B6" s="364">
        <f>INDEX('Combined Data'!$B$4:$AJ$4,1,MATCH('BPEiC-CO2'!$A6,'Combined Data'!$B$2:$AJ$2))*10^12</f>
        <v>70185666149907.977</v>
      </c>
      <c r="C6" s="364">
        <f>INDEX('Combined Data'!$B$10:$AJ$10,1,MATCH('BPEiC-CO2'!$A6,'Combined Data'!$B$2:$AJ$2))*10^12</f>
        <v>109957851585004.14</v>
      </c>
      <c r="D6" s="364">
        <f>INDEX('Combined Data'!$B$19:$AJ$19,1,MATCH('BPEiC-CO2'!$A6,'Combined Data'!$B$2:$AJ$2))*10^12</f>
        <v>52865132773978.898</v>
      </c>
      <c r="E6" s="364">
        <f>INDEX('Combined Data'!$B$29:$AJ$29,1,MATCH('BPEiC-CO2'!$A6,'Combined Data'!$B$2:$AJ$2))*10^12</f>
        <v>123779496921985.59</v>
      </c>
      <c r="F6" s="364">
        <v>0</v>
      </c>
      <c r="G6" s="364">
        <v>0</v>
      </c>
      <c r="H6" s="364">
        <v>0</v>
      </c>
      <c r="I6" s="364">
        <f>INDEX('Combined Data'!$B$72:$AJ$72,1,MATCH('BPEiC-CO2'!$A6,'Combined Data'!$B$2:$AJ$2))*10^12</f>
        <v>26657216433665.992</v>
      </c>
    </row>
    <row r="7" spans="1:9" x14ac:dyDescent="0.25">
      <c r="A7" s="108">
        <v>2021</v>
      </c>
      <c r="B7" s="364">
        <f>INDEX('Combined Data'!$B$4:$AJ$4,1,MATCH('BPEiC-CO2'!$A7,'Combined Data'!$B$2:$AJ$2))*10^12</f>
        <v>71939831123218.281</v>
      </c>
      <c r="C7" s="364">
        <f>INDEX('Combined Data'!$B$10:$AJ$10,1,MATCH('BPEiC-CO2'!$A7,'Combined Data'!$B$2:$AJ$2))*10^12</f>
        <v>111383025843642.06</v>
      </c>
      <c r="D7" s="364">
        <f>INDEX('Combined Data'!$B$19:$AJ$19,1,MATCH('BPEiC-CO2'!$A7,'Combined Data'!$B$2:$AJ$2))*10^12</f>
        <v>54069411665731.727</v>
      </c>
      <c r="E7" s="364">
        <f>INDEX('Combined Data'!$B$29:$AJ$29,1,MATCH('BPEiC-CO2'!$A7,'Combined Data'!$B$2:$AJ$2))*10^12</f>
        <v>125624272323585.83</v>
      </c>
      <c r="F7" s="364">
        <v>0</v>
      </c>
      <c r="G7" s="364">
        <v>0</v>
      </c>
      <c r="H7" s="364">
        <v>0</v>
      </c>
      <c r="I7" s="364">
        <f>INDEX('Combined Data'!$B$72:$AJ$72,1,MATCH('BPEiC-CO2'!$A7,'Combined Data'!$B$2:$AJ$2))*10^12</f>
        <v>27034728700928.898</v>
      </c>
    </row>
    <row r="8" spans="1:9" x14ac:dyDescent="0.25">
      <c r="A8" s="108">
        <v>2022</v>
      </c>
      <c r="B8" s="364">
        <f>INDEX('Combined Data'!$B$4:$AJ$4,1,MATCH('BPEiC-CO2'!$A8,'Combined Data'!$B$2:$AJ$2))*10^12</f>
        <v>73259829373411.375</v>
      </c>
      <c r="C8" s="364">
        <f>INDEX('Combined Data'!$B$10:$AJ$10,1,MATCH('BPEiC-CO2'!$A8,'Combined Data'!$B$2:$AJ$2))*10^12</f>
        <v>112980582682928.2</v>
      </c>
      <c r="D8" s="364">
        <f>INDEX('Combined Data'!$B$19:$AJ$19,1,MATCH('BPEiC-CO2'!$A8,'Combined Data'!$B$2:$AJ$2))*10^12</f>
        <v>55656241311143.109</v>
      </c>
      <c r="E8" s="364">
        <f>INDEX('Combined Data'!$B$29:$AJ$29,1,MATCH('BPEiC-CO2'!$A8,'Combined Data'!$B$2:$AJ$2))*10^12</f>
        <v>127618170755157.2</v>
      </c>
      <c r="F8" s="364">
        <v>0</v>
      </c>
      <c r="G8" s="364">
        <v>0</v>
      </c>
      <c r="H8" s="364">
        <v>0</v>
      </c>
      <c r="I8" s="364">
        <f>INDEX('Combined Data'!$B$72:$AJ$72,1,MATCH('BPEiC-CO2'!$A8,'Combined Data'!$B$2:$AJ$2))*10^12</f>
        <v>27414643743241.605</v>
      </c>
    </row>
    <row r="9" spans="1:9" x14ac:dyDescent="0.25">
      <c r="A9" s="108">
        <v>2023</v>
      </c>
      <c r="B9" s="364">
        <f>INDEX('Combined Data'!$B$4:$AJ$4,1,MATCH('BPEiC-CO2'!$A9,'Combined Data'!$B$2:$AJ$2))*10^12</f>
        <v>74070772741156.25</v>
      </c>
      <c r="C9" s="364">
        <f>INDEX('Combined Data'!$B$10:$AJ$10,1,MATCH('BPEiC-CO2'!$A9,'Combined Data'!$B$2:$AJ$2))*10^12</f>
        <v>114321486576773.31</v>
      </c>
      <c r="D9" s="364">
        <f>INDEX('Combined Data'!$B$19:$AJ$19,1,MATCH('BPEiC-CO2'!$A9,'Combined Data'!$B$2:$AJ$2))*10^12</f>
        <v>55906567281727.609</v>
      </c>
      <c r="E9" s="364">
        <f>INDEX('Combined Data'!$B$29:$AJ$29,1,MATCH('BPEiC-CO2'!$A9,'Combined Data'!$B$2:$AJ$2))*10^12</f>
        <v>130576324366648.41</v>
      </c>
      <c r="F9" s="364">
        <v>0</v>
      </c>
      <c r="G9" s="364">
        <v>0</v>
      </c>
      <c r="H9" s="364">
        <v>0</v>
      </c>
      <c r="I9" s="364">
        <f>INDEX('Combined Data'!$B$72:$AJ$72,1,MATCH('BPEiC-CO2'!$A9,'Combined Data'!$B$2:$AJ$2))*10^12</f>
        <v>27796908494711.766</v>
      </c>
    </row>
    <row r="10" spans="1:9" x14ac:dyDescent="0.25">
      <c r="A10" s="108">
        <v>2024</v>
      </c>
      <c r="B10" s="364">
        <f>INDEX('Combined Data'!$B$4:$AJ$4,1,MATCH('BPEiC-CO2'!$A10,'Combined Data'!$B$2:$AJ$2))*10^12</f>
        <v>75074976749627.75</v>
      </c>
      <c r="C10" s="364">
        <f>INDEX('Combined Data'!$B$10:$AJ$10,1,MATCH('BPEiC-CO2'!$A10,'Combined Data'!$B$2:$AJ$2))*10^12</f>
        <v>115823994260646.31</v>
      </c>
      <c r="D10" s="364">
        <f>INDEX('Combined Data'!$B$19:$AJ$19,1,MATCH('BPEiC-CO2'!$A10,'Combined Data'!$B$2:$AJ$2))*10^12</f>
        <v>55404041125438.906</v>
      </c>
      <c r="E10" s="364">
        <f>INDEX('Combined Data'!$B$29:$AJ$29,1,MATCH('BPEiC-CO2'!$A10,'Combined Data'!$B$2:$AJ$2))*10^12</f>
        <v>133849148809836.52</v>
      </c>
      <c r="F10" s="364">
        <v>0</v>
      </c>
      <c r="G10" s="364">
        <v>0</v>
      </c>
      <c r="H10" s="364">
        <v>0</v>
      </c>
      <c r="I10" s="364">
        <f>INDEX('Combined Data'!$B$72:$AJ$72,1,MATCH('BPEiC-CO2'!$A10,'Combined Data'!$B$2:$AJ$2))*10^12</f>
        <v>28181471283905.898</v>
      </c>
    </row>
    <row r="11" spans="1:9" x14ac:dyDescent="0.25">
      <c r="A11" s="108">
        <v>2025</v>
      </c>
      <c r="B11" s="364">
        <f>INDEX('Combined Data'!$B$4:$AJ$4,1,MATCH('BPEiC-CO2'!$A11,'Combined Data'!$B$2:$AJ$2))*10^12</f>
        <v>75911583644156.125</v>
      </c>
      <c r="C11" s="364">
        <f>INDEX('Combined Data'!$B$10:$AJ$10,1,MATCH('BPEiC-CO2'!$A11,'Combined Data'!$B$2:$AJ$2))*10^12</f>
        <v>116902821641934.31</v>
      </c>
      <c r="D11" s="364">
        <f>INDEX('Combined Data'!$B$19:$AJ$19,1,MATCH('BPEiC-CO2'!$A11,'Combined Data'!$B$2:$AJ$2))*10^12</f>
        <v>54951007316405.977</v>
      </c>
      <c r="E11" s="364">
        <f>INDEX('Combined Data'!$B$29:$AJ$29,1,MATCH('BPEiC-CO2'!$A11,'Combined Data'!$B$2:$AJ$2))*10^12</f>
        <v>135754023492863.09</v>
      </c>
      <c r="F11" s="364">
        <v>0</v>
      </c>
      <c r="G11" s="364">
        <v>0</v>
      </c>
      <c r="H11" s="364">
        <v>0</v>
      </c>
      <c r="I11" s="364">
        <f>INDEX('Combined Data'!$B$72:$AJ$72,1,MATCH('BPEiC-CO2'!$A11,'Combined Data'!$B$2:$AJ$2))*10^12</f>
        <v>28568281793943.133</v>
      </c>
    </row>
    <row r="12" spans="1:9" x14ac:dyDescent="0.25">
      <c r="A12" s="108">
        <v>2026</v>
      </c>
      <c r="B12" s="364">
        <f>INDEX('Combined Data'!$B$4:$AJ$4,1,MATCH('BPEiC-CO2'!$A12,'Combined Data'!$B$2:$AJ$2))*10^12</f>
        <v>76844057475639.453</v>
      </c>
      <c r="C12" s="364">
        <f>INDEX('Combined Data'!$B$10:$AJ$10,1,MATCH('BPEiC-CO2'!$A12,'Combined Data'!$B$2:$AJ$2))*10^12</f>
        <v>117769572134854.25</v>
      </c>
      <c r="D12" s="364">
        <f>INDEX('Combined Data'!$B$19:$AJ$19,1,MATCH('BPEiC-CO2'!$A12,'Combined Data'!$B$2:$AJ$2))*10^12</f>
        <v>54610779578873.594</v>
      </c>
      <c r="E12" s="364">
        <f>INDEX('Combined Data'!$B$29:$AJ$29,1,MATCH('BPEiC-CO2'!$A12,'Combined Data'!$B$2:$AJ$2))*10^12</f>
        <v>137100360858952.34</v>
      </c>
      <c r="F12" s="364">
        <v>0</v>
      </c>
      <c r="G12" s="364">
        <v>0</v>
      </c>
      <c r="H12" s="364">
        <v>0</v>
      </c>
      <c r="I12" s="364">
        <f>INDEX('Combined Data'!$B$72:$AJ$72,1,MATCH('BPEiC-CO2'!$A12,'Combined Data'!$B$2:$AJ$2))*10^12</f>
        <v>28957291023801.914</v>
      </c>
    </row>
    <row r="13" spans="1:9" x14ac:dyDescent="0.25">
      <c r="A13" s="108">
        <v>2027</v>
      </c>
      <c r="B13" s="364">
        <f>INDEX('Combined Data'!$B$4:$AJ$4,1,MATCH('BPEiC-CO2'!$A13,'Combined Data'!$B$2:$AJ$2))*10^12</f>
        <v>77771683347495.328</v>
      </c>
      <c r="C13" s="364">
        <f>INDEX('Combined Data'!$B$10:$AJ$10,1,MATCH('BPEiC-CO2'!$A13,'Combined Data'!$B$2:$AJ$2))*10^12</f>
        <v>119021445526822.73</v>
      </c>
      <c r="D13" s="364">
        <f>INDEX('Combined Data'!$B$19:$AJ$19,1,MATCH('BPEiC-CO2'!$A13,'Combined Data'!$B$2:$AJ$2))*10^12</f>
        <v>54283494816369.875</v>
      </c>
      <c r="E13" s="364">
        <f>INDEX('Combined Data'!$B$29:$AJ$29,1,MATCH('BPEiC-CO2'!$A13,'Combined Data'!$B$2:$AJ$2))*10^12</f>
        <v>139180194681682.2</v>
      </c>
      <c r="F13" s="364">
        <v>0</v>
      </c>
      <c r="G13" s="364">
        <v>0</v>
      </c>
      <c r="H13" s="364">
        <v>0</v>
      </c>
      <c r="I13" s="364">
        <f>INDEX('Combined Data'!$B$72:$AJ$72,1,MATCH('BPEiC-CO2'!$A13,'Combined Data'!$B$2:$AJ$2))*10^12</f>
        <v>29348451250801.672</v>
      </c>
    </row>
    <row r="14" spans="1:9" x14ac:dyDescent="0.25">
      <c r="A14" s="108">
        <v>2028</v>
      </c>
      <c r="B14" s="364">
        <f>INDEX('Combined Data'!$B$4:$AJ$4,1,MATCH('BPEiC-CO2'!$A14,'Combined Data'!$B$2:$AJ$2))*10^12</f>
        <v>78560760902172.094</v>
      </c>
      <c r="C14" s="364">
        <f>INDEX('Combined Data'!$B$10:$AJ$10,1,MATCH('BPEiC-CO2'!$A14,'Combined Data'!$B$2:$AJ$2))*10^12</f>
        <v>120098112787896.44</v>
      </c>
      <c r="D14" s="364">
        <f>INDEX('Combined Data'!$B$19:$AJ$19,1,MATCH('BPEiC-CO2'!$A14,'Combined Data'!$B$2:$AJ$2))*10^12</f>
        <v>54099301642576.344</v>
      </c>
      <c r="E14" s="364">
        <f>INDEX('Combined Data'!$B$29:$AJ$29,1,MATCH('BPEiC-CO2'!$A14,'Combined Data'!$B$2:$AJ$2))*10^12</f>
        <v>141502345596622.22</v>
      </c>
      <c r="F14" s="364">
        <v>0</v>
      </c>
      <c r="G14" s="364">
        <v>0</v>
      </c>
      <c r="H14" s="364">
        <v>0</v>
      </c>
      <c r="I14" s="364">
        <f>INDEX('Combined Data'!$B$72:$AJ$72,1,MATCH('BPEiC-CO2'!$A14,'Combined Data'!$B$2:$AJ$2))*10^12</f>
        <v>29741715994222.645</v>
      </c>
    </row>
    <row r="15" spans="1:9" x14ac:dyDescent="0.25">
      <c r="A15" s="108">
        <v>2029</v>
      </c>
      <c r="B15" s="364">
        <f>INDEX('Combined Data'!$B$4:$AJ$4,1,MATCH('BPEiC-CO2'!$A15,'Combined Data'!$B$2:$AJ$2))*10^12</f>
        <v>79641414575507.516</v>
      </c>
      <c r="C15" s="364">
        <f>INDEX('Combined Data'!$B$10:$AJ$10,1,MATCH('BPEiC-CO2'!$A15,'Combined Data'!$B$2:$AJ$2))*10^12</f>
        <v>120838028324439.48</v>
      </c>
      <c r="D15" s="364">
        <f>INDEX('Combined Data'!$B$19:$AJ$19,1,MATCH('BPEiC-CO2'!$A15,'Combined Data'!$B$2:$AJ$2))*10^12</f>
        <v>54260763595136.234</v>
      </c>
      <c r="E15" s="364">
        <f>INDEX('Combined Data'!$B$29:$AJ$29,1,MATCH('BPEiC-CO2'!$A15,'Combined Data'!$B$2:$AJ$2))*10^12</f>
        <v>143424375185437.81</v>
      </c>
      <c r="F15" s="364">
        <v>0</v>
      </c>
      <c r="G15" s="364">
        <v>0</v>
      </c>
      <c r="H15" s="364">
        <v>0</v>
      </c>
      <c r="I15" s="364">
        <f>INDEX('Combined Data'!$B$72:$AJ$72,1,MATCH('BPEiC-CO2'!$A15,'Combined Data'!$B$2:$AJ$2))*10^12</f>
        <v>30137039980028.293</v>
      </c>
    </row>
    <row r="16" spans="1:9" x14ac:dyDescent="0.25">
      <c r="A16" s="108">
        <v>2030</v>
      </c>
      <c r="B16" s="364">
        <f>INDEX('Combined Data'!$B$4:$AJ$4,1,MATCH('BPEiC-CO2'!$A16,'Combined Data'!$B$2:$AJ$2))*10^12</f>
        <v>80914004457202.203</v>
      </c>
      <c r="C16" s="364">
        <f>INDEX('Combined Data'!$B$10:$AJ$10,1,MATCH('BPEiC-CO2'!$A16,'Combined Data'!$B$2:$AJ$2))*10^12</f>
        <v>121264568492520.53</v>
      </c>
      <c r="D16" s="364">
        <f>INDEX('Combined Data'!$B$19:$AJ$19,1,MATCH('BPEiC-CO2'!$A16,'Combined Data'!$B$2:$AJ$2))*10^12</f>
        <v>53913352664404.07</v>
      </c>
      <c r="E16" s="364">
        <f>INDEX('Combined Data'!$B$29:$AJ$29,1,MATCH('BPEiC-CO2'!$A16,'Combined Data'!$B$2:$AJ$2))*10^12</f>
        <v>145544233809014.38</v>
      </c>
      <c r="F16" s="364">
        <v>0</v>
      </c>
      <c r="G16" s="364">
        <v>0</v>
      </c>
      <c r="H16" s="364">
        <v>0</v>
      </c>
      <c r="I16" s="364">
        <f>INDEX('Combined Data'!$B$72:$AJ$72,1,MATCH('BPEiC-CO2'!$A16,'Combined Data'!$B$2:$AJ$2))*10^12</f>
        <v>30534379106655.832</v>
      </c>
    </row>
    <row r="17" spans="1:9" x14ac:dyDescent="0.25">
      <c r="A17" s="108">
        <v>2031</v>
      </c>
      <c r="B17" s="364">
        <f>INDEX('Combined Data'!$B$4:$AJ$4,1,MATCH('BPEiC-CO2'!$A17,'Combined Data'!$B$2:$AJ$2))*10^12</f>
        <v>82250559446492.281</v>
      </c>
      <c r="C17" s="364">
        <f>INDEX('Combined Data'!$B$10:$AJ$10,1,MATCH('BPEiC-CO2'!$A17,'Combined Data'!$B$2:$AJ$2))*10^12</f>
        <v>121949285315047.8</v>
      </c>
      <c r="D17" s="364">
        <f>INDEX('Combined Data'!$B$19:$AJ$19,1,MATCH('BPEiC-CO2'!$A17,'Combined Data'!$B$2:$AJ$2))*10^12</f>
        <v>53807575851473.289</v>
      </c>
      <c r="E17" s="364">
        <f>INDEX('Combined Data'!$B$29:$AJ$29,1,MATCH('BPEiC-CO2'!$A17,'Combined Data'!$B$2:$AJ$2))*10^12</f>
        <v>147745439564051.66</v>
      </c>
      <c r="F17" s="364">
        <v>0</v>
      </c>
      <c r="G17" s="364">
        <v>0</v>
      </c>
      <c r="H17" s="364">
        <v>0</v>
      </c>
      <c r="I17" s="364">
        <f>INDEX('Combined Data'!$B$72:$AJ$72,1,MATCH('BPEiC-CO2'!$A17,'Combined Data'!$B$2:$AJ$2))*10^12</f>
        <v>30933690411841.566</v>
      </c>
    </row>
    <row r="18" spans="1:9" x14ac:dyDescent="0.25">
      <c r="A18" s="108">
        <v>2032</v>
      </c>
      <c r="B18" s="364">
        <f>INDEX('Combined Data'!$B$4:$AJ$4,1,MATCH('BPEiC-CO2'!$A18,'Combined Data'!$B$2:$AJ$2))*10^12</f>
        <v>82867917028493.984</v>
      </c>
      <c r="C18" s="364">
        <f>INDEX('Combined Data'!$B$10:$AJ$10,1,MATCH('BPEiC-CO2'!$A18,'Combined Data'!$B$2:$AJ$2))*10^12</f>
        <v>122219838571470.61</v>
      </c>
      <c r="D18" s="364">
        <f>INDEX('Combined Data'!$B$19:$AJ$19,1,MATCH('BPEiC-CO2'!$A18,'Combined Data'!$B$2:$AJ$2))*10^12</f>
        <v>53775441192147.984</v>
      </c>
      <c r="E18" s="364">
        <f>INDEX('Combined Data'!$B$29:$AJ$29,1,MATCH('BPEiC-CO2'!$A18,'Combined Data'!$B$2:$AJ$2))*10^12</f>
        <v>149256269280857.72</v>
      </c>
      <c r="F18" s="364">
        <v>0</v>
      </c>
      <c r="G18" s="364">
        <v>0</v>
      </c>
      <c r="H18" s="364">
        <v>0</v>
      </c>
      <c r="I18" s="364">
        <f>INDEX('Combined Data'!$B$72:$AJ$72,1,MATCH('BPEiC-CO2'!$A18,'Combined Data'!$B$2:$AJ$2))*10^12</f>
        <v>31334932040448.449</v>
      </c>
    </row>
    <row r="19" spans="1:9" x14ac:dyDescent="0.25">
      <c r="A19" s="108">
        <v>2033</v>
      </c>
      <c r="B19" s="364">
        <f>INDEX('Combined Data'!$B$4:$AJ$4,1,MATCH('BPEiC-CO2'!$A19,'Combined Data'!$B$2:$AJ$2))*10^12</f>
        <v>84033664138752.781</v>
      </c>
      <c r="C19" s="364">
        <f>INDEX('Combined Data'!$B$10:$AJ$10,1,MATCH('BPEiC-CO2'!$A19,'Combined Data'!$B$2:$AJ$2))*10^12</f>
        <v>122473457809527.28</v>
      </c>
      <c r="D19" s="364">
        <f>INDEX('Combined Data'!$B$19:$AJ$19,1,MATCH('BPEiC-CO2'!$A19,'Combined Data'!$B$2:$AJ$2))*10^12</f>
        <v>53515979977236.398</v>
      </c>
      <c r="E19" s="364">
        <f>INDEX('Combined Data'!$B$29:$AJ$29,1,MATCH('BPEiC-CO2'!$A19,'Combined Data'!$B$2:$AJ$2))*10^12</f>
        <v>151143708350322.63</v>
      </c>
      <c r="F19" s="364">
        <v>0</v>
      </c>
      <c r="G19" s="364">
        <v>0</v>
      </c>
      <c r="H19" s="364">
        <v>0</v>
      </c>
      <c r="I19" s="364">
        <f>INDEX('Combined Data'!$B$72:$AJ$72,1,MATCH('BPEiC-CO2'!$A19,'Combined Data'!$B$2:$AJ$2))*10^12</f>
        <v>31738063213264.98</v>
      </c>
    </row>
    <row r="20" spans="1:9" x14ac:dyDescent="0.25">
      <c r="A20" s="108">
        <v>2034</v>
      </c>
      <c r="B20" s="364">
        <f>INDEX('Combined Data'!$B$4:$AJ$4,1,MATCH('BPEiC-CO2'!$A20,'Combined Data'!$B$2:$AJ$2))*10^12</f>
        <v>85533724298189.781</v>
      </c>
      <c r="C20" s="364">
        <f>INDEX('Combined Data'!$B$10:$AJ$10,1,MATCH('BPEiC-CO2'!$A20,'Combined Data'!$B$2:$AJ$2))*10^12</f>
        <v>123225994921167.92</v>
      </c>
      <c r="D20" s="364">
        <f>INDEX('Combined Data'!$B$19:$AJ$19,1,MATCH('BPEiC-CO2'!$A20,'Combined Data'!$B$2:$AJ$2))*10^12</f>
        <v>53263833909753.867</v>
      </c>
      <c r="E20" s="364">
        <f>INDEX('Combined Data'!$B$29:$AJ$29,1,MATCH('BPEiC-CO2'!$A20,'Combined Data'!$B$2:$AJ$2))*10^12</f>
        <v>152405556765181.97</v>
      </c>
      <c r="F20" s="364">
        <v>0</v>
      </c>
      <c r="G20" s="364">
        <v>0</v>
      </c>
      <c r="H20" s="364">
        <v>0</v>
      </c>
      <c r="I20" s="364">
        <f>INDEX('Combined Data'!$B$72:$AJ$72,1,MATCH('BPEiC-CO2'!$A20,'Combined Data'!$B$2:$AJ$2))*10^12</f>
        <v>32143044196744.781</v>
      </c>
    </row>
    <row r="21" spans="1:9" x14ac:dyDescent="0.25">
      <c r="A21" s="108">
        <v>2035</v>
      </c>
      <c r="B21" s="364">
        <f>INDEX('Combined Data'!$B$4:$AJ$4,1,MATCH('BPEiC-CO2'!$A21,'Combined Data'!$B$2:$AJ$2))*10^12</f>
        <v>87050274199469.422</v>
      </c>
      <c r="C21" s="364">
        <f>INDEX('Combined Data'!$B$10:$AJ$10,1,MATCH('BPEiC-CO2'!$A21,'Combined Data'!$B$2:$AJ$2))*10^12</f>
        <v>123572978574296.02</v>
      </c>
      <c r="D21" s="364">
        <f>INDEX('Combined Data'!$B$19:$AJ$19,1,MATCH('BPEiC-CO2'!$A21,'Combined Data'!$B$2:$AJ$2))*10^12</f>
        <v>52948288712213.938</v>
      </c>
      <c r="E21" s="364">
        <f>INDEX('Combined Data'!$B$29:$AJ$29,1,MATCH('BPEiC-CO2'!$A21,'Combined Data'!$B$2:$AJ$2))*10^12</f>
        <v>153648520929446.41</v>
      </c>
      <c r="F21" s="364">
        <v>0</v>
      </c>
      <c r="G21" s="364">
        <v>0</v>
      </c>
      <c r="H21" s="364">
        <v>0</v>
      </c>
      <c r="I21" s="364">
        <f>INDEX('Combined Data'!$B$72:$AJ$72,1,MATCH('BPEiC-CO2'!$A21,'Combined Data'!$B$2:$AJ$2))*10^12</f>
        <v>32549836273657.719</v>
      </c>
    </row>
    <row r="22" spans="1:9" x14ac:dyDescent="0.25">
      <c r="A22" s="108">
        <v>2036</v>
      </c>
      <c r="B22" s="364">
        <f>INDEX('Combined Data'!$B$4:$AJ$4,1,MATCH('BPEiC-CO2'!$A22,'Combined Data'!$B$2:$AJ$2))*10^12</f>
        <v>88471152029514.766</v>
      </c>
      <c r="C22" s="364">
        <f>INDEX('Combined Data'!$B$10:$AJ$10,1,MATCH('BPEiC-CO2'!$A22,'Combined Data'!$B$2:$AJ$2))*10^12</f>
        <v>124066659958273.53</v>
      </c>
      <c r="D22" s="364">
        <f>INDEX('Combined Data'!$B$19:$AJ$19,1,MATCH('BPEiC-CO2'!$A22,'Combined Data'!$B$2:$AJ$2))*10^12</f>
        <v>52817508667442.086</v>
      </c>
      <c r="E22" s="364">
        <f>INDEX('Combined Data'!$B$29:$AJ$29,1,MATCH('BPEiC-CO2'!$A22,'Combined Data'!$B$2:$AJ$2))*10^12</f>
        <v>154788766063759.91</v>
      </c>
      <c r="F22" s="364">
        <v>0</v>
      </c>
      <c r="G22" s="364">
        <v>0</v>
      </c>
      <c r="H22" s="364">
        <v>0</v>
      </c>
      <c r="I22" s="364">
        <f>INDEX('Combined Data'!$B$72:$AJ$72,1,MATCH('BPEiC-CO2'!$A22,'Combined Data'!$B$2:$AJ$2))*10^12</f>
        <v>32958401714624.152</v>
      </c>
    </row>
    <row r="23" spans="1:9" x14ac:dyDescent="0.25">
      <c r="A23" s="108">
        <v>2037</v>
      </c>
      <c r="B23" s="364">
        <f>INDEX('Combined Data'!$B$4:$AJ$4,1,MATCH('BPEiC-CO2'!$A23,'Combined Data'!$B$2:$AJ$2))*10^12</f>
        <v>89678554708932.344</v>
      </c>
      <c r="C23" s="364">
        <f>INDEX('Combined Data'!$B$10:$AJ$10,1,MATCH('BPEiC-CO2'!$A23,'Combined Data'!$B$2:$AJ$2))*10^12</f>
        <v>124909064862609.88</v>
      </c>
      <c r="D23" s="364">
        <f>INDEX('Combined Data'!$B$19:$AJ$19,1,MATCH('BPEiC-CO2'!$A23,'Combined Data'!$B$2:$AJ$2))*10^12</f>
        <v>52542437688550</v>
      </c>
      <c r="E23" s="364">
        <f>INDEX('Combined Data'!$B$29:$AJ$29,1,MATCH('BPEiC-CO2'!$A23,'Combined Data'!$B$2:$AJ$2))*10^12</f>
        <v>156617426094154.94</v>
      </c>
      <c r="F23" s="364">
        <v>0</v>
      </c>
      <c r="G23" s="364">
        <v>0</v>
      </c>
      <c r="H23" s="364">
        <v>0</v>
      </c>
      <c r="I23" s="364">
        <f>INDEX('Combined Data'!$B$72:$AJ$72,1,MATCH('BPEiC-CO2'!$A23,'Combined Data'!$B$2:$AJ$2))*10^12</f>
        <v>33368703750504.664</v>
      </c>
    </row>
    <row r="24" spans="1:9" x14ac:dyDescent="0.25">
      <c r="A24" s="108">
        <v>2038</v>
      </c>
      <c r="B24" s="364">
        <f>INDEX('Combined Data'!$B$4:$AJ$4,1,MATCH('BPEiC-CO2'!$A24,'Combined Data'!$B$2:$AJ$2))*10^12</f>
        <v>91263614528310.938</v>
      </c>
      <c r="C24" s="364">
        <f>INDEX('Combined Data'!$B$10:$AJ$10,1,MATCH('BPEiC-CO2'!$A24,'Combined Data'!$B$2:$AJ$2))*10^12</f>
        <v>124989815495905.64</v>
      </c>
      <c r="D24" s="364">
        <f>INDEX('Combined Data'!$B$19:$AJ$19,1,MATCH('BPEiC-CO2'!$A24,'Combined Data'!$B$2:$AJ$2))*10^12</f>
        <v>52886630677977.961</v>
      </c>
      <c r="E24" s="364">
        <f>INDEX('Combined Data'!$B$29:$AJ$29,1,MATCH('BPEiC-CO2'!$A24,'Combined Data'!$B$2:$AJ$2))*10^12</f>
        <v>158938326047154.19</v>
      </c>
      <c r="F24" s="364">
        <v>0</v>
      </c>
      <c r="G24" s="364">
        <v>0</v>
      </c>
      <c r="H24" s="364">
        <v>0</v>
      </c>
      <c r="I24" s="364">
        <f>INDEX('Combined Data'!$B$72:$AJ$72,1,MATCH('BPEiC-CO2'!$A24,'Combined Data'!$B$2:$AJ$2))*10^12</f>
        <v>33780706545618.797</v>
      </c>
    </row>
    <row r="25" spans="1:9" x14ac:dyDescent="0.25">
      <c r="A25" s="108">
        <v>2039</v>
      </c>
      <c r="B25" s="364">
        <f>INDEX('Combined Data'!$B$4:$AJ$4,1,MATCH('BPEiC-CO2'!$A25,'Combined Data'!$B$2:$AJ$2))*10^12</f>
        <v>92480825853401.797</v>
      </c>
      <c r="C25" s="364">
        <f>INDEX('Combined Data'!$B$10:$AJ$10,1,MATCH('BPEiC-CO2'!$A25,'Combined Data'!$B$2:$AJ$2))*10^12</f>
        <v>125579520206047.81</v>
      </c>
      <c r="D25" s="364">
        <f>INDEX('Combined Data'!$B$19:$AJ$19,1,MATCH('BPEiC-CO2'!$A25,'Combined Data'!$B$2:$AJ$2))*10^12</f>
        <v>53188345949313.133</v>
      </c>
      <c r="E25" s="364">
        <f>INDEX('Combined Data'!$B$29:$AJ$29,1,MATCH('BPEiC-CO2'!$A25,'Combined Data'!$B$2:$AJ$2))*10^12</f>
        <v>160138785976712.41</v>
      </c>
      <c r="F25" s="364">
        <v>0</v>
      </c>
      <c r="G25" s="364">
        <v>0</v>
      </c>
      <c r="H25" s="364">
        <v>0</v>
      </c>
      <c r="I25" s="364">
        <f>INDEX('Combined Data'!$B$72:$AJ$72,1,MATCH('BPEiC-CO2'!$A25,'Combined Data'!$B$2:$AJ$2))*10^12</f>
        <v>34194375171767.02</v>
      </c>
    </row>
    <row r="26" spans="1:9" x14ac:dyDescent="0.25">
      <c r="A26" s="108">
        <v>2040</v>
      </c>
      <c r="B26" s="364">
        <f>INDEX('Combined Data'!$B$4:$AJ$4,1,MATCH('BPEiC-CO2'!$A26,'Combined Data'!$B$2:$AJ$2))*10^12</f>
        <v>94006215360206.328</v>
      </c>
      <c r="C26" s="364">
        <f>INDEX('Combined Data'!$B$10:$AJ$10,1,MATCH('BPEiC-CO2'!$A26,'Combined Data'!$B$2:$AJ$2))*10^12</f>
        <v>126437746001963.69</v>
      </c>
      <c r="D26" s="364">
        <f>INDEX('Combined Data'!$B$19:$AJ$19,1,MATCH('BPEiC-CO2'!$A26,'Combined Data'!$B$2:$AJ$2))*10^12</f>
        <v>53232271583151.219</v>
      </c>
      <c r="E26" s="364">
        <f>INDEX('Combined Data'!$B$29:$AJ$29,1,MATCH('BPEiC-CO2'!$A26,'Combined Data'!$B$2:$AJ$2))*10^12</f>
        <v>161073255814184.19</v>
      </c>
      <c r="F26" s="364">
        <v>0</v>
      </c>
      <c r="G26" s="364">
        <v>0</v>
      </c>
      <c r="H26" s="364">
        <v>0</v>
      </c>
      <c r="I26" s="364">
        <f>INDEX('Combined Data'!$B$72:$AJ$72,1,MATCH('BPEiC-CO2'!$A26,'Combined Data'!$B$2:$AJ$2))*10^12</f>
        <v>34609675583030.707</v>
      </c>
    </row>
    <row r="27" spans="1:9" x14ac:dyDescent="0.25">
      <c r="A27" s="108">
        <v>2041</v>
      </c>
      <c r="B27" s="364">
        <f>INDEX('Combined Data'!$B$4:$AJ$4,1,MATCH('BPEiC-CO2'!$A27,'Combined Data'!$B$2:$AJ$2))*10^12</f>
        <v>95696093665352.781</v>
      </c>
      <c r="C27" s="364">
        <f>INDEX('Combined Data'!$B$10:$AJ$10,1,MATCH('BPEiC-CO2'!$A27,'Combined Data'!$B$2:$AJ$2))*10^12</f>
        <v>127017771591444.56</v>
      </c>
      <c r="D27" s="364">
        <f>INDEX('Combined Data'!$B$19:$AJ$19,1,MATCH('BPEiC-CO2'!$A27,'Combined Data'!$B$2:$AJ$2))*10^12</f>
        <v>53106114102200.859</v>
      </c>
      <c r="E27" s="364">
        <f>INDEX('Combined Data'!$B$29:$AJ$29,1,MATCH('BPEiC-CO2'!$A27,'Combined Data'!$B$2:$AJ$2))*10^12</f>
        <v>162153295761991.53</v>
      </c>
      <c r="F27" s="364">
        <v>0</v>
      </c>
      <c r="G27" s="364">
        <v>0</v>
      </c>
      <c r="H27" s="364">
        <v>0</v>
      </c>
      <c r="I27" s="364">
        <f>INDEX('Combined Data'!$B$72:$AJ$72,1,MATCH('BPEiC-CO2'!$A27,'Combined Data'!$B$2:$AJ$2))*10^12</f>
        <v>35026574591326.324</v>
      </c>
    </row>
    <row r="28" spans="1:9" x14ac:dyDescent="0.25">
      <c r="A28" s="108">
        <v>2042</v>
      </c>
      <c r="B28" s="364">
        <f>INDEX('Combined Data'!$B$4:$AJ$4,1,MATCH('BPEiC-CO2'!$A28,'Combined Data'!$B$2:$AJ$2))*10^12</f>
        <v>96951685252975.797</v>
      </c>
      <c r="C28" s="364">
        <f>INDEX('Combined Data'!$B$10:$AJ$10,1,MATCH('BPEiC-CO2'!$A28,'Combined Data'!$B$2:$AJ$2))*10^12</f>
        <v>127605386597310.11</v>
      </c>
      <c r="D28" s="364">
        <f>INDEX('Combined Data'!$B$19:$AJ$19,1,MATCH('BPEiC-CO2'!$A28,'Combined Data'!$B$2:$AJ$2))*10^12</f>
        <v>53126340620167.531</v>
      </c>
      <c r="E28" s="364">
        <f>INDEX('Combined Data'!$B$29:$AJ$29,1,MATCH('BPEiC-CO2'!$A28,'Combined Data'!$B$2:$AJ$2))*10^12</f>
        <v>162747585056034.66</v>
      </c>
      <c r="F28" s="364">
        <v>0</v>
      </c>
      <c r="G28" s="364">
        <v>0</v>
      </c>
      <c r="H28" s="364">
        <v>0</v>
      </c>
      <c r="I28" s="364">
        <f>INDEX('Combined Data'!$B$72:$AJ$72,1,MATCH('BPEiC-CO2'!$A28,'Combined Data'!$B$2:$AJ$2))*10^12</f>
        <v>35445039842690.094</v>
      </c>
    </row>
    <row r="29" spans="1:9" x14ac:dyDescent="0.25">
      <c r="A29" s="108">
        <v>2043</v>
      </c>
      <c r="B29" s="364">
        <f>INDEX('Combined Data'!$B$4:$AJ$4,1,MATCH('BPEiC-CO2'!$A29,'Combined Data'!$B$2:$AJ$2))*10^12</f>
        <v>98513215152134.469</v>
      </c>
      <c r="C29" s="364">
        <f>INDEX('Combined Data'!$B$10:$AJ$10,1,MATCH('BPEiC-CO2'!$A29,'Combined Data'!$B$2:$AJ$2))*10^12</f>
        <v>128036174106590.27</v>
      </c>
      <c r="D29" s="364">
        <f>INDEX('Combined Data'!$B$19:$AJ$19,1,MATCH('BPEiC-CO2'!$A29,'Combined Data'!$B$2:$AJ$2))*10^12</f>
        <v>53345576484723.984</v>
      </c>
      <c r="E29" s="364">
        <f>INDEX('Combined Data'!$B$29:$AJ$29,1,MATCH('BPEiC-CO2'!$A29,'Combined Data'!$B$2:$AJ$2))*10^12</f>
        <v>163652042048949.69</v>
      </c>
      <c r="F29" s="364">
        <v>0</v>
      </c>
      <c r="G29" s="364">
        <v>0</v>
      </c>
      <c r="H29" s="364">
        <v>0</v>
      </c>
      <c r="I29" s="364">
        <f>INDEX('Combined Data'!$B$72:$AJ$72,1,MATCH('BPEiC-CO2'!$A29,'Combined Data'!$B$2:$AJ$2))*10^12</f>
        <v>35865039794270.625</v>
      </c>
    </row>
    <row r="30" spans="1:9" x14ac:dyDescent="0.25">
      <c r="A30" s="108">
        <v>2044</v>
      </c>
      <c r="B30" s="364">
        <f>INDEX('Combined Data'!$B$4:$AJ$4,1,MATCH('BPEiC-CO2'!$A30,'Combined Data'!$B$2:$AJ$2))*10^12</f>
        <v>100252720980481.13</v>
      </c>
      <c r="C30" s="364">
        <f>INDEX('Combined Data'!$B$10:$AJ$10,1,MATCH('BPEiC-CO2'!$A30,'Combined Data'!$B$2:$AJ$2))*10^12</f>
        <v>128314651236333.81</v>
      </c>
      <c r="D30" s="364">
        <f>INDEX('Combined Data'!$B$19:$AJ$19,1,MATCH('BPEiC-CO2'!$A30,'Combined Data'!$B$2:$AJ$2))*10^12</f>
        <v>53795497381806.492</v>
      </c>
      <c r="E30" s="364">
        <f>INDEX('Combined Data'!$B$29:$AJ$29,1,MATCH('BPEiC-CO2'!$A30,'Combined Data'!$B$2:$AJ$2))*10^12</f>
        <v>164480697288148.91</v>
      </c>
      <c r="F30" s="364">
        <v>0</v>
      </c>
      <c r="G30" s="364">
        <v>0</v>
      </c>
      <c r="H30" s="364">
        <v>0</v>
      </c>
      <c r="I30" s="364">
        <f>INDEX('Combined Data'!$B$72:$AJ$72,1,MATCH('BPEiC-CO2'!$A30,'Combined Data'!$B$2:$AJ$2))*10^12</f>
        <v>36286543692007.547</v>
      </c>
    </row>
    <row r="31" spans="1:9" x14ac:dyDescent="0.25">
      <c r="A31" s="108">
        <v>2045</v>
      </c>
      <c r="B31" s="364">
        <f>INDEX('Combined Data'!$B$4:$AJ$4,1,MATCH('BPEiC-CO2'!$A31,'Combined Data'!$B$2:$AJ$2))*10^12</f>
        <v>101964847874040.81</v>
      </c>
      <c r="C31" s="364">
        <f>INDEX('Combined Data'!$B$10:$AJ$10,1,MATCH('BPEiC-CO2'!$A31,'Combined Data'!$B$2:$AJ$2))*10^12</f>
        <v>128196977963483.73</v>
      </c>
      <c r="D31" s="364">
        <f>INDEX('Combined Data'!$B$19:$AJ$19,1,MATCH('BPEiC-CO2'!$A31,'Combined Data'!$B$2:$AJ$2))*10^12</f>
        <v>54232681849150.484</v>
      </c>
      <c r="E31" s="364">
        <f>INDEX('Combined Data'!$B$29:$AJ$29,1,MATCH('BPEiC-CO2'!$A31,'Combined Data'!$B$2:$AJ$2))*10^12</f>
        <v>165501733867215.19</v>
      </c>
      <c r="F31" s="364">
        <v>0</v>
      </c>
      <c r="G31" s="364">
        <v>0</v>
      </c>
      <c r="H31" s="364">
        <v>0</v>
      </c>
      <c r="I31" s="364">
        <f>INDEX('Combined Data'!$B$72:$AJ$72,1,MATCH('BPEiC-CO2'!$A31,'Combined Data'!$B$2:$AJ$2))*10^12</f>
        <v>36709521548974.797</v>
      </c>
    </row>
    <row r="32" spans="1:9" x14ac:dyDescent="0.25">
      <c r="A32" s="108">
        <v>2046</v>
      </c>
      <c r="B32" s="364">
        <f>INDEX('Combined Data'!$B$4:$AJ$4,1,MATCH('BPEiC-CO2'!$A32,'Combined Data'!$B$2:$AJ$2))*10^12</f>
        <v>103840307801916.55</v>
      </c>
      <c r="C32" s="364">
        <f>INDEX('Combined Data'!$B$10:$AJ$10,1,MATCH('BPEiC-CO2'!$A32,'Combined Data'!$B$2:$AJ$2))*10^12</f>
        <v>128555976300014.33</v>
      </c>
      <c r="D32" s="364">
        <f>INDEX('Combined Data'!$B$19:$AJ$19,1,MATCH('BPEiC-CO2'!$A32,'Combined Data'!$B$2:$AJ$2))*10^12</f>
        <v>54626573473040.219</v>
      </c>
      <c r="E32" s="364">
        <f>INDEX('Combined Data'!$B$29:$AJ$29,1,MATCH('BPEiC-CO2'!$A32,'Combined Data'!$B$2:$AJ$2))*10^12</f>
        <v>166307223417565.28</v>
      </c>
      <c r="F32" s="364">
        <v>0</v>
      </c>
      <c r="G32" s="364">
        <v>0</v>
      </c>
      <c r="H32" s="364">
        <v>0</v>
      </c>
      <c r="I32" s="364">
        <f>INDEX('Combined Data'!$B$72:$AJ$72,1,MATCH('BPEiC-CO2'!$A32,'Combined Data'!$B$2:$AJ$2))*10^12</f>
        <v>37133944124368.07</v>
      </c>
    </row>
    <row r="33" spans="1:9" x14ac:dyDescent="0.25">
      <c r="A33" s="108">
        <v>2047</v>
      </c>
      <c r="B33" s="364">
        <f>INDEX('Combined Data'!$B$4:$AJ$4,1,MATCH('BPEiC-CO2'!$A33,'Combined Data'!$B$2:$AJ$2))*10^12</f>
        <v>105286170817383.5</v>
      </c>
      <c r="C33" s="364">
        <f>INDEX('Combined Data'!$B$10:$AJ$10,1,MATCH('BPEiC-CO2'!$A33,'Combined Data'!$B$2:$AJ$2))*10^12</f>
        <v>129109683451627.83</v>
      </c>
      <c r="D33" s="364">
        <f>INDEX('Combined Data'!$B$19:$AJ$19,1,MATCH('BPEiC-CO2'!$A33,'Combined Data'!$B$2:$AJ$2))*10^12</f>
        <v>54796137687457.453</v>
      </c>
      <c r="E33" s="364">
        <f>INDEX('Combined Data'!$B$29:$AJ$29,1,MATCH('BPEiC-CO2'!$A33,'Combined Data'!$B$2:$AJ$2))*10^12</f>
        <v>167292732377923.72</v>
      </c>
      <c r="F33" s="364">
        <v>0</v>
      </c>
      <c r="G33" s="364">
        <v>0</v>
      </c>
      <c r="H33" s="364">
        <v>0</v>
      </c>
      <c r="I33" s="364">
        <f>INDEX('Combined Data'!$B$72:$AJ$72,1,MATCH('BPEiC-CO2'!$A33,'Combined Data'!$B$2:$AJ$2))*10^12</f>
        <v>37559782903116.453</v>
      </c>
    </row>
    <row r="34" spans="1:9" x14ac:dyDescent="0.25">
      <c r="A34" s="108">
        <v>2048</v>
      </c>
      <c r="B34" s="364">
        <f>INDEX('Combined Data'!$B$4:$AJ$4,1,MATCH('BPEiC-CO2'!$A34,'Combined Data'!$B$2:$AJ$2))*10^12</f>
        <v>106631509244874.36</v>
      </c>
      <c r="C34" s="364">
        <f>INDEX('Combined Data'!$B$10:$AJ$10,1,MATCH('BPEiC-CO2'!$A34,'Combined Data'!$B$2:$AJ$2))*10^12</f>
        <v>129405203055571.92</v>
      </c>
      <c r="D34" s="364">
        <f>INDEX('Combined Data'!$B$19:$AJ$19,1,MATCH('BPEiC-CO2'!$A34,'Combined Data'!$B$2:$AJ$2))*10^12</f>
        <v>54757827767235.125</v>
      </c>
      <c r="E34" s="364">
        <f>INDEX('Combined Data'!$B$29:$AJ$29,1,MATCH('BPEiC-CO2'!$A34,'Combined Data'!$B$2:$AJ$2))*10^12</f>
        <v>168387337730268.94</v>
      </c>
      <c r="F34" s="364">
        <v>0</v>
      </c>
      <c r="G34" s="364">
        <v>0</v>
      </c>
      <c r="H34" s="364">
        <v>0</v>
      </c>
      <c r="I34" s="364">
        <f>INDEX('Combined Data'!$B$72:$AJ$72,1,MATCH('BPEiC-CO2'!$A34,'Combined Data'!$B$2:$AJ$2))*10^12</f>
        <v>37987010076099.008</v>
      </c>
    </row>
    <row r="35" spans="1:9" x14ac:dyDescent="0.25">
      <c r="A35" s="108">
        <v>2049</v>
      </c>
      <c r="B35" s="364">
        <f>INDEX('Combined Data'!$B$4:$AJ$4,1,MATCH('BPEiC-CO2'!$A35,'Combined Data'!$B$2:$AJ$2))*10^12</f>
        <v>107813200074599.22</v>
      </c>
      <c r="C35" s="364">
        <f>INDEX('Combined Data'!$B$10:$AJ$10,1,MATCH('BPEiC-CO2'!$A35,'Combined Data'!$B$2:$AJ$2))*10^12</f>
        <v>129639664719982.45</v>
      </c>
      <c r="D35" s="364">
        <f>INDEX('Combined Data'!$B$19:$AJ$19,1,MATCH('BPEiC-CO2'!$A35,'Combined Data'!$B$2:$AJ$2))*10^12</f>
        <v>55054310121863.531</v>
      </c>
      <c r="E35" s="364">
        <f>INDEX('Combined Data'!$B$29:$AJ$29,1,MATCH('BPEiC-CO2'!$A35,'Combined Data'!$B$2:$AJ$2))*10^12</f>
        <v>169374485145042.66</v>
      </c>
      <c r="F35" s="364">
        <v>0</v>
      </c>
      <c r="G35" s="364">
        <v>0</v>
      </c>
      <c r="H35" s="364">
        <v>0</v>
      </c>
      <c r="I35" s="364">
        <f>INDEX('Combined Data'!$B$72:$AJ$72,1,MATCH('BPEiC-CO2'!$A35,'Combined Data'!$B$2:$AJ$2))*10^12</f>
        <v>38415598520947.406</v>
      </c>
    </row>
    <row r="36" spans="1:9" x14ac:dyDescent="0.25">
      <c r="A36" s="108">
        <v>2050</v>
      </c>
      <c r="B36" s="364">
        <f>INDEX('Combined Data'!$B$4:$AJ$4,1,MATCH('BPEiC-CO2'!$A36,'Combined Data'!$B$2:$AJ$2))*10^12</f>
        <v>109070596862364.17</v>
      </c>
      <c r="C36" s="364">
        <f>INDEX('Combined Data'!$B$10:$AJ$10,1,MATCH('BPEiC-CO2'!$A36,'Combined Data'!$B$2:$AJ$2))*10^12</f>
        <v>130248513861912.56</v>
      </c>
      <c r="D36" s="364">
        <f>INDEX('Combined Data'!$B$19:$AJ$19,1,MATCH('BPEiC-CO2'!$A36,'Combined Data'!$B$2:$AJ$2))*10^12</f>
        <v>55609224473840.602</v>
      </c>
      <c r="E36" s="364">
        <f>INDEX('Combined Data'!$B$29:$AJ$29,1,MATCH('BPEiC-CO2'!$A36,'Combined Data'!$B$2:$AJ$2))*10^12</f>
        <v>170367081079035.38</v>
      </c>
      <c r="F36" s="364">
        <v>0</v>
      </c>
      <c r="G36" s="364">
        <v>0</v>
      </c>
      <c r="H36" s="364">
        <v>0</v>
      </c>
      <c r="I36" s="364">
        <f>INDEX('Combined Data'!$B$72:$AJ$72,1,MATCH('BPEiC-CO2'!$A36,'Combined Data'!$B$2:$AJ$2))*10^12</f>
        <v>38845521783416.836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3"/>
  </sheetPr>
  <dimension ref="A1:I36"/>
  <sheetViews>
    <sheetView workbookViewId="0">
      <selection activeCell="I2" sqref="B2:I36"/>
    </sheetView>
  </sheetViews>
  <sheetFormatPr defaultColWidth="10.28515625" defaultRowHeight="15" x14ac:dyDescent="0.25"/>
  <cols>
    <col min="1" max="1" width="10.28515625" style="108"/>
    <col min="2" max="9" width="20.140625" style="108" customWidth="1"/>
    <col min="10" max="16384" width="10.28515625" style="106"/>
  </cols>
  <sheetData>
    <row r="1" spans="1:9" x14ac:dyDescent="0.25">
      <c r="A1" s="108" t="s">
        <v>240</v>
      </c>
      <c r="B1" s="108" t="s">
        <v>854</v>
      </c>
      <c r="C1" s="108" t="s">
        <v>855</v>
      </c>
      <c r="D1" s="108" t="s">
        <v>856</v>
      </c>
      <c r="E1" s="108" t="s">
        <v>857</v>
      </c>
      <c r="F1" s="108" t="s">
        <v>858</v>
      </c>
      <c r="G1" s="108" t="s">
        <v>859</v>
      </c>
      <c r="H1" s="108" t="s">
        <v>860</v>
      </c>
      <c r="I1" s="108" t="s">
        <v>861</v>
      </c>
    </row>
    <row r="2" spans="1:9" x14ac:dyDescent="0.25">
      <c r="A2" s="108">
        <v>2016</v>
      </c>
      <c r="B2" s="364">
        <v>0</v>
      </c>
      <c r="C2" s="364">
        <f>INDEX('Combined Data'!$B$9:$AJ$9,1,MATCH('BPEiC-CO2'!$A2,'Combined Data'!$B$2:$AJ$2))*10^12</f>
        <v>222977364908655.97</v>
      </c>
      <c r="D2" s="364">
        <f>INDEX('Combined Data'!$B$20:$AJ$20,1,MATCH('BPEiC-CO2'!$A2,'Combined Data'!$B$2:$AJ$2))*10^12</f>
        <v>8400000000.000001</v>
      </c>
      <c r="E2" s="364">
        <v>0</v>
      </c>
      <c r="F2" s="364">
        <f>INDEX('Combined Data'!$B$38:$AJ$38,1,MATCH('BPEiC-CO2'!$A2,'Combined Data'!$B$2:$AJ$2))*10^12</f>
        <v>70003577617028.984</v>
      </c>
      <c r="G2" s="364">
        <f>INDEX('Combined Data'!$B$46:$AJ$46,1,MATCH('BPEiC-CO2'!$A2,'Combined Data'!$B$2:$AJ$2))*10^12</f>
        <v>153752928475933.5</v>
      </c>
      <c r="H2" s="364">
        <f>INDEX('Combined Data'!$B$59:$AJ$59,1,MATCH('BPEiC-CO2'!$A2,'Combined Data'!$B$2:$AJ$2))*10^12</f>
        <v>280876611214038.25</v>
      </c>
      <c r="I2" s="364">
        <f>INDEX('Combined Data'!$B$74:$AJ$74,1,MATCH('BPEiC-CO2'!$A2,'Combined Data'!$B$2:$AJ$2))*10^12</f>
        <v>28000000000</v>
      </c>
    </row>
    <row r="3" spans="1:9" x14ac:dyDescent="0.25">
      <c r="A3" s="108">
        <v>2017</v>
      </c>
      <c r="B3" s="364">
        <v>0</v>
      </c>
      <c r="C3" s="364">
        <f>INDEX('Combined Data'!$B$9:$AJ$9,1,MATCH('BPEiC-CO2'!$A3,'Combined Data'!$B$2:$AJ$2))*10^12</f>
        <v>222030464739343.38</v>
      </c>
      <c r="D3" s="364">
        <f>INDEX('Combined Data'!$B$20:$AJ$20,1,MATCH('BPEiC-CO2'!$A3,'Combined Data'!$B$2:$AJ$2))*10^12</f>
        <v>7900154189.046443</v>
      </c>
      <c r="E3" s="364">
        <v>0</v>
      </c>
      <c r="F3" s="364">
        <f>INDEX('Combined Data'!$B$38:$AJ$38,1,MATCH('BPEiC-CO2'!$A3,'Combined Data'!$B$2:$AJ$2))*10^12</f>
        <v>75247834879021.016</v>
      </c>
      <c r="G3" s="364">
        <f>INDEX('Combined Data'!$B$46:$AJ$46,1,MATCH('BPEiC-CO2'!$A3,'Combined Data'!$B$2:$AJ$2))*10^12</f>
        <v>152347073852412.16</v>
      </c>
      <c r="H3" s="364">
        <f>INDEX('Combined Data'!$B$59:$AJ$59,1,MATCH('BPEiC-CO2'!$A3,'Combined Data'!$B$2:$AJ$2))*10^12</f>
        <v>281794975031530.94</v>
      </c>
      <c r="I3" s="364">
        <f>INDEX('Combined Data'!$B$74:$AJ$74,1,MATCH('BPEiC-CO2'!$A3,'Combined Data'!$B$2:$AJ$2))*10^12</f>
        <v>30800000000.000004</v>
      </c>
    </row>
    <row r="4" spans="1:9" x14ac:dyDescent="0.25">
      <c r="A4" s="108">
        <v>2018</v>
      </c>
      <c r="B4" s="364">
        <v>0</v>
      </c>
      <c r="C4" s="364">
        <f>INDEX('Combined Data'!$B$9:$AJ$9,1,MATCH('BPEiC-CO2'!$A4,'Combined Data'!$B$2:$AJ$2))*10^12</f>
        <v>232496004080592.81</v>
      </c>
      <c r="D4" s="364">
        <f>INDEX('Combined Data'!$B$20:$AJ$20,1,MATCH('BPEiC-CO2'!$A4,'Combined Data'!$B$2:$AJ$2))*10^12</f>
        <v>8665412713.1380215</v>
      </c>
      <c r="E4" s="364">
        <v>0</v>
      </c>
      <c r="F4" s="364">
        <f>INDEX('Combined Data'!$B$38:$AJ$38,1,MATCH('BPEiC-CO2'!$A4,'Combined Data'!$B$2:$AJ$2))*10^12</f>
        <v>70125165316626.977</v>
      </c>
      <c r="G4" s="364">
        <f>INDEX('Combined Data'!$B$46:$AJ$46,1,MATCH('BPEiC-CO2'!$A4,'Combined Data'!$B$2:$AJ$2))*10^12</f>
        <v>149734026390994.66</v>
      </c>
      <c r="H4" s="364">
        <f>INDEX('Combined Data'!$B$59:$AJ$59,1,MATCH('BPEiC-CO2'!$A4,'Combined Data'!$B$2:$AJ$2))*10^12</f>
        <v>287298909489043.06</v>
      </c>
      <c r="I4" s="364">
        <f>INDEX('Combined Data'!$B$74:$AJ$74,1,MATCH('BPEiC-CO2'!$A4,'Combined Data'!$B$2:$AJ$2))*10^12</f>
        <v>33600000000.000011</v>
      </c>
    </row>
    <row r="5" spans="1:9" x14ac:dyDescent="0.25">
      <c r="A5" s="108">
        <v>2019</v>
      </c>
      <c r="B5" s="364">
        <v>0</v>
      </c>
      <c r="C5" s="364">
        <f>INDEX('Combined Data'!$B$9:$AJ$9,1,MATCH('BPEiC-CO2'!$A5,'Combined Data'!$B$2:$AJ$2))*10^12</f>
        <v>245527916112267.16</v>
      </c>
      <c r="D5" s="364">
        <f>INDEX('Combined Data'!$B$20:$AJ$20,1,MATCH('BPEiC-CO2'!$A5,'Combined Data'!$B$2:$AJ$2))*10^12</f>
        <v>8575032062.0255613</v>
      </c>
      <c r="E5" s="364">
        <v>0</v>
      </c>
      <c r="F5" s="364">
        <f>INDEX('Combined Data'!$B$38:$AJ$38,1,MATCH('BPEiC-CO2'!$A5,'Combined Data'!$B$2:$AJ$2))*10^12</f>
        <v>69793732667669.828</v>
      </c>
      <c r="G5" s="364">
        <f>INDEX('Combined Data'!$B$46:$AJ$46,1,MATCH('BPEiC-CO2'!$A5,'Combined Data'!$B$2:$AJ$2))*10^12</f>
        <v>147403971700725.81</v>
      </c>
      <c r="H5" s="364">
        <f>INDEX('Combined Data'!$B$59:$AJ$59,1,MATCH('BPEiC-CO2'!$A5,'Combined Data'!$B$2:$AJ$2))*10^12</f>
        <v>289386752337296.5</v>
      </c>
      <c r="I5" s="364">
        <f>INDEX('Combined Data'!$B$74:$AJ$74,1,MATCH('BPEiC-CO2'!$A5,'Combined Data'!$B$2:$AJ$2))*10^12</f>
        <v>36400000000.000008</v>
      </c>
    </row>
    <row r="6" spans="1:9" x14ac:dyDescent="0.25">
      <c r="A6" s="108">
        <v>2020</v>
      </c>
      <c r="B6" s="364">
        <v>0</v>
      </c>
      <c r="C6" s="364">
        <f>INDEX('Combined Data'!$B$9:$AJ$9,1,MATCH('BPEiC-CO2'!$A6,'Combined Data'!$B$2:$AJ$2))*10^12</f>
        <v>255710614644843.69</v>
      </c>
      <c r="D6" s="364">
        <f>INDEX('Combined Data'!$B$20:$AJ$20,1,MATCH('BPEiC-CO2'!$A6,'Combined Data'!$B$2:$AJ$2))*10^12</f>
        <v>8242028235.2514658</v>
      </c>
      <c r="E6" s="364">
        <v>0</v>
      </c>
      <c r="F6" s="364">
        <f>INDEX('Combined Data'!$B$38:$AJ$38,1,MATCH('BPEiC-CO2'!$A6,'Combined Data'!$B$2:$AJ$2))*10^12</f>
        <v>71614337581419.125</v>
      </c>
      <c r="G6" s="364">
        <f>INDEX('Combined Data'!$B$46:$AJ$46,1,MATCH('BPEiC-CO2'!$A6,'Combined Data'!$B$2:$AJ$2))*10^12</f>
        <v>145100713047467.31</v>
      </c>
      <c r="H6" s="364">
        <f>INDEX('Combined Data'!$B$59:$AJ$59,1,MATCH('BPEiC-CO2'!$A6,'Combined Data'!$B$2:$AJ$2))*10^12</f>
        <v>289040906464039.75</v>
      </c>
      <c r="I6" s="364">
        <f>INDEX('Combined Data'!$B$74:$AJ$74,1,MATCH('BPEiC-CO2'!$A6,'Combined Data'!$B$2:$AJ$2))*10^12</f>
        <v>39200000000.000015</v>
      </c>
    </row>
    <row r="7" spans="1:9" x14ac:dyDescent="0.25">
      <c r="A7" s="108">
        <v>2021</v>
      </c>
      <c r="B7" s="364">
        <v>0</v>
      </c>
      <c r="C7" s="364">
        <f>INDEX('Combined Data'!$B$9:$AJ$9,1,MATCH('BPEiC-CO2'!$A7,'Combined Data'!$B$2:$AJ$2))*10^12</f>
        <v>261095649797123.94</v>
      </c>
      <c r="D7" s="364">
        <f>INDEX('Combined Data'!$B$20:$AJ$20,1,MATCH('BPEiC-CO2'!$A7,'Combined Data'!$B$2:$AJ$2))*10^12</f>
        <v>8448865258.699296</v>
      </c>
      <c r="E7" s="364">
        <v>0</v>
      </c>
      <c r="F7" s="364">
        <f>INDEX('Combined Data'!$B$38:$AJ$38,1,MATCH('BPEiC-CO2'!$A7,'Combined Data'!$B$2:$AJ$2))*10^12</f>
        <v>70185278325137.984</v>
      </c>
      <c r="G7" s="364">
        <f>INDEX('Combined Data'!$B$46:$AJ$46,1,MATCH('BPEiC-CO2'!$A7,'Combined Data'!$B$2:$AJ$2))*10^12</f>
        <v>142853987106694.56</v>
      </c>
      <c r="H7" s="364">
        <f>INDEX('Combined Data'!$B$59:$AJ$59,1,MATCH('BPEiC-CO2'!$A7,'Combined Data'!$B$2:$AJ$2))*10^12</f>
        <v>289179455027293.31</v>
      </c>
      <c r="I7" s="364">
        <f>INDEX('Combined Data'!$B$74:$AJ$74,1,MATCH('BPEiC-CO2'!$A7,'Combined Data'!$B$2:$AJ$2))*10^12</f>
        <v>42000000000.000015</v>
      </c>
    </row>
    <row r="8" spans="1:9" x14ac:dyDescent="0.25">
      <c r="A8" s="108">
        <v>2022</v>
      </c>
      <c r="B8" s="364">
        <v>0</v>
      </c>
      <c r="C8" s="364">
        <f>INDEX('Combined Data'!$B$9:$AJ$9,1,MATCH('BPEiC-CO2'!$A8,'Combined Data'!$B$2:$AJ$2))*10^12</f>
        <v>264892909513983</v>
      </c>
      <c r="D8" s="364">
        <f>INDEX('Combined Data'!$B$20:$AJ$20,1,MATCH('BPEiC-CO2'!$A8,'Combined Data'!$B$2:$AJ$2))*10^12</f>
        <v>8728506911.4862156</v>
      </c>
      <c r="E8" s="364">
        <v>0</v>
      </c>
      <c r="F8" s="364">
        <f>INDEX('Combined Data'!$B$38:$AJ$38,1,MATCH('BPEiC-CO2'!$A8,'Combined Data'!$B$2:$AJ$2))*10^12</f>
        <v>70387400701368.547</v>
      </c>
      <c r="G8" s="364">
        <f>INDEX('Combined Data'!$B$46:$AJ$46,1,MATCH('BPEiC-CO2'!$A8,'Combined Data'!$B$2:$AJ$2))*10^12</f>
        <v>140625167529251.59</v>
      </c>
      <c r="H8" s="364">
        <f>INDEX('Combined Data'!$B$59:$AJ$59,1,MATCH('BPEiC-CO2'!$A8,'Combined Data'!$B$2:$AJ$2))*10^12</f>
        <v>289641376185477.31</v>
      </c>
      <c r="I8" s="364">
        <f>INDEX('Combined Data'!$B$74:$AJ$74,1,MATCH('BPEiC-CO2'!$A8,'Combined Data'!$B$2:$AJ$2))*10^12</f>
        <v>44800000000.000015</v>
      </c>
    </row>
    <row r="9" spans="1:9" x14ac:dyDescent="0.25">
      <c r="A9" s="108">
        <v>2023</v>
      </c>
      <c r="B9" s="364">
        <v>0</v>
      </c>
      <c r="C9" s="364">
        <f>INDEX('Combined Data'!$B$9:$AJ$9,1,MATCH('BPEiC-CO2'!$A9,'Combined Data'!$B$2:$AJ$2))*10^12</f>
        <v>268912295251930.47</v>
      </c>
      <c r="D9" s="364">
        <f>INDEX('Combined Data'!$B$20:$AJ$20,1,MATCH('BPEiC-CO2'!$A9,'Combined Data'!$B$2:$AJ$2))*10^12</f>
        <v>8722380038.6730938</v>
      </c>
      <c r="E9" s="364">
        <v>0</v>
      </c>
      <c r="F9" s="364">
        <f>INDEX('Combined Data'!$B$38:$AJ$38,1,MATCH('BPEiC-CO2'!$A9,'Combined Data'!$B$2:$AJ$2))*10^12</f>
        <v>71605175020086.016</v>
      </c>
      <c r="G9" s="364">
        <f>INDEX('Combined Data'!$B$46:$AJ$46,1,MATCH('BPEiC-CO2'!$A9,'Combined Data'!$B$2:$AJ$2))*10^12</f>
        <v>138373491521949.69</v>
      </c>
      <c r="H9" s="364">
        <f>INDEX('Combined Data'!$B$59:$AJ$59,1,MATCH('BPEiC-CO2'!$A9,'Combined Data'!$B$2:$AJ$2))*10^12</f>
        <v>290415594710969.25</v>
      </c>
      <c r="I9" s="364">
        <f>INDEX('Combined Data'!$B$74:$AJ$74,1,MATCH('BPEiC-CO2'!$A9,'Combined Data'!$B$2:$AJ$2))*10^12</f>
        <v>47600000000.000015</v>
      </c>
    </row>
    <row r="10" spans="1:9" x14ac:dyDescent="0.25">
      <c r="A10" s="108">
        <v>2024</v>
      </c>
      <c r="B10" s="364">
        <v>0</v>
      </c>
      <c r="C10" s="364">
        <f>INDEX('Combined Data'!$B$9:$AJ$9,1,MATCH('BPEiC-CO2'!$A10,'Combined Data'!$B$2:$AJ$2))*10^12</f>
        <v>273299107226063.66</v>
      </c>
      <c r="D10" s="364">
        <f>INDEX('Combined Data'!$B$20:$AJ$20,1,MATCH('BPEiC-CO2'!$A10,'Combined Data'!$B$2:$AJ$2))*10^12</f>
        <v>8560116473.3507004</v>
      </c>
      <c r="E10" s="364">
        <v>0</v>
      </c>
      <c r="F10" s="364">
        <f>INDEX('Combined Data'!$B$38:$AJ$38,1,MATCH('BPEiC-CO2'!$A10,'Combined Data'!$B$2:$AJ$2))*10^12</f>
        <v>73005080647294.578</v>
      </c>
      <c r="G10" s="364">
        <f>INDEX('Combined Data'!$B$46:$AJ$46,1,MATCH('BPEiC-CO2'!$A10,'Combined Data'!$B$2:$AJ$2))*10^12</f>
        <v>136123215507007.61</v>
      </c>
      <c r="H10" s="364">
        <f>INDEX('Combined Data'!$B$59:$AJ$59,1,MATCH('BPEiC-CO2'!$A10,'Combined Data'!$B$2:$AJ$2))*10^12</f>
        <v>290510418817717.75</v>
      </c>
      <c r="I10" s="364">
        <f>INDEX('Combined Data'!$B$74:$AJ$74,1,MATCH('BPEiC-CO2'!$A10,'Combined Data'!$B$2:$AJ$2))*10^12</f>
        <v>50400000000.000023</v>
      </c>
    </row>
    <row r="11" spans="1:9" x14ac:dyDescent="0.25">
      <c r="A11" s="108">
        <v>2025</v>
      </c>
      <c r="B11" s="364">
        <v>0</v>
      </c>
      <c r="C11" s="364">
        <f>INDEX('Combined Data'!$B$9:$AJ$9,1,MATCH('BPEiC-CO2'!$A11,'Combined Data'!$B$2:$AJ$2))*10^12</f>
        <v>276391372356910.44</v>
      </c>
      <c r="D11" s="364">
        <f>INDEX('Combined Data'!$B$20:$AJ$20,1,MATCH('BPEiC-CO2'!$A11,'Combined Data'!$B$2:$AJ$2))*10^12</f>
        <v>8436630372.4506197</v>
      </c>
      <c r="E11" s="364">
        <v>0</v>
      </c>
      <c r="F11" s="364">
        <f>INDEX('Combined Data'!$B$38:$AJ$38,1,MATCH('BPEiC-CO2'!$A11,'Combined Data'!$B$2:$AJ$2))*10^12</f>
        <v>71689931775345.891</v>
      </c>
      <c r="G11" s="364">
        <f>INDEX('Combined Data'!$B$46:$AJ$46,1,MATCH('BPEiC-CO2'!$A11,'Combined Data'!$B$2:$AJ$2))*10^12</f>
        <v>133858478810777.55</v>
      </c>
      <c r="H11" s="364">
        <f>INDEX('Combined Data'!$B$59:$AJ$59,1,MATCH('BPEiC-CO2'!$A11,'Combined Data'!$B$2:$AJ$2))*10^12</f>
        <v>290946037842828.81</v>
      </c>
      <c r="I11" s="364">
        <f>INDEX('Combined Data'!$B$74:$AJ$74,1,MATCH('BPEiC-CO2'!$A11,'Combined Data'!$B$2:$AJ$2))*10^12</f>
        <v>53200000000.000023</v>
      </c>
    </row>
    <row r="12" spans="1:9" x14ac:dyDescent="0.25">
      <c r="A12" s="108">
        <v>2026</v>
      </c>
      <c r="B12" s="364">
        <v>0</v>
      </c>
      <c r="C12" s="364">
        <f>INDEX('Combined Data'!$B$9:$AJ$9,1,MATCH('BPEiC-CO2'!$A12,'Combined Data'!$B$2:$AJ$2))*10^12</f>
        <v>278940975488025.97</v>
      </c>
      <c r="D12" s="364">
        <f>INDEX('Combined Data'!$B$20:$AJ$20,1,MATCH('BPEiC-CO2'!$A12,'Combined Data'!$B$2:$AJ$2))*10^12</f>
        <v>8347364867.6764269</v>
      </c>
      <c r="E12" s="364">
        <v>0</v>
      </c>
      <c r="F12" s="364">
        <f>INDEX('Combined Data'!$B$38:$AJ$38,1,MATCH('BPEiC-CO2'!$A12,'Combined Data'!$B$2:$AJ$2))*10^12</f>
        <v>71852136433725.234</v>
      </c>
      <c r="G12" s="364">
        <f>INDEX('Combined Data'!$B$46:$AJ$46,1,MATCH('BPEiC-CO2'!$A12,'Combined Data'!$B$2:$AJ$2))*10^12</f>
        <v>131596059941083.09</v>
      </c>
      <c r="H12" s="364">
        <f>INDEX('Combined Data'!$B$59:$AJ$59,1,MATCH('BPEiC-CO2'!$A12,'Combined Data'!$B$2:$AJ$2))*10^12</f>
        <v>291855355535884.69</v>
      </c>
      <c r="I12" s="364">
        <f>INDEX('Combined Data'!$B$74:$AJ$74,1,MATCH('BPEiC-CO2'!$A12,'Combined Data'!$B$2:$AJ$2))*10^12</f>
        <v>56000000000.000031</v>
      </c>
    </row>
    <row r="13" spans="1:9" x14ac:dyDescent="0.25">
      <c r="A13" s="108">
        <v>2027</v>
      </c>
      <c r="B13" s="364">
        <v>0</v>
      </c>
      <c r="C13" s="364">
        <f>INDEX('Combined Data'!$B$9:$AJ$9,1,MATCH('BPEiC-CO2'!$A13,'Combined Data'!$B$2:$AJ$2))*10^12</f>
        <v>282035783729072.19</v>
      </c>
      <c r="D13" s="364">
        <f>INDEX('Combined Data'!$B$20:$AJ$20,1,MATCH('BPEiC-CO2'!$A13,'Combined Data'!$B$2:$AJ$2))*10^12</f>
        <v>8245151019.5990143</v>
      </c>
      <c r="E13" s="364">
        <v>0</v>
      </c>
      <c r="F13" s="364">
        <f>INDEX('Combined Data'!$B$38:$AJ$38,1,MATCH('BPEiC-CO2'!$A13,'Combined Data'!$B$2:$AJ$2))*10^12</f>
        <v>71414780567715.469</v>
      </c>
      <c r="G13" s="364">
        <f>INDEX('Combined Data'!$B$46:$AJ$46,1,MATCH('BPEiC-CO2'!$A13,'Combined Data'!$B$2:$AJ$2))*10^12</f>
        <v>129346553874441.72</v>
      </c>
      <c r="H13" s="364">
        <f>INDEX('Combined Data'!$B$59:$AJ$59,1,MATCH('BPEiC-CO2'!$A13,'Combined Data'!$B$2:$AJ$2))*10^12</f>
        <v>293188593884804.06</v>
      </c>
      <c r="I13" s="364">
        <f>INDEX('Combined Data'!$B$74:$AJ$74,1,MATCH('BPEiC-CO2'!$A13,'Combined Data'!$B$2:$AJ$2))*10^12</f>
        <v>58800000000.000023</v>
      </c>
    </row>
    <row r="14" spans="1:9" x14ac:dyDescent="0.25">
      <c r="A14" s="108">
        <v>2028</v>
      </c>
      <c r="B14" s="364">
        <v>0</v>
      </c>
      <c r="C14" s="364">
        <f>INDEX('Combined Data'!$B$9:$AJ$9,1,MATCH('BPEiC-CO2'!$A14,'Combined Data'!$B$2:$AJ$2))*10^12</f>
        <v>285082761540896.38</v>
      </c>
      <c r="D14" s="364">
        <f>INDEX('Combined Data'!$B$20:$AJ$20,1,MATCH('BPEiC-CO2'!$A14,'Combined Data'!$B$2:$AJ$2))*10^12</f>
        <v>8166224103.5911541</v>
      </c>
      <c r="E14" s="364">
        <v>0</v>
      </c>
      <c r="F14" s="364">
        <f>INDEX('Combined Data'!$B$38:$AJ$38,1,MATCH('BPEiC-CO2'!$A14,'Combined Data'!$B$2:$AJ$2))*10^12</f>
        <v>71749090157019.984</v>
      </c>
      <c r="G14" s="364">
        <f>INDEX('Combined Data'!$B$46:$AJ$46,1,MATCH('BPEiC-CO2'!$A14,'Combined Data'!$B$2:$AJ$2))*10^12</f>
        <v>127082574639625.89</v>
      </c>
      <c r="H14" s="364">
        <f>INDEX('Combined Data'!$B$59:$AJ$59,1,MATCH('BPEiC-CO2'!$A14,'Combined Data'!$B$2:$AJ$2))*10^12</f>
        <v>294044159773491.25</v>
      </c>
      <c r="I14" s="364">
        <f>INDEX('Combined Data'!$B$74:$AJ$74,1,MATCH('BPEiC-CO2'!$A14,'Combined Data'!$B$2:$AJ$2))*10^12</f>
        <v>61600000000.000031</v>
      </c>
    </row>
    <row r="15" spans="1:9" x14ac:dyDescent="0.25">
      <c r="A15" s="108">
        <v>2029</v>
      </c>
      <c r="B15" s="364">
        <v>0</v>
      </c>
      <c r="C15" s="364">
        <f>INDEX('Combined Data'!$B$9:$AJ$9,1,MATCH('BPEiC-CO2'!$A15,'Combined Data'!$B$2:$AJ$2))*10^12</f>
        <v>287339512424926</v>
      </c>
      <c r="D15" s="364">
        <f>INDEX('Combined Data'!$B$20:$AJ$20,1,MATCH('BPEiC-CO2'!$A15,'Combined Data'!$B$2:$AJ$2))*10^12</f>
        <v>8164398420.2582397</v>
      </c>
      <c r="E15" s="364">
        <v>0</v>
      </c>
      <c r="F15" s="364">
        <f>INDEX('Combined Data'!$B$38:$AJ$38,1,MATCH('BPEiC-CO2'!$A15,'Combined Data'!$B$2:$AJ$2))*10^12</f>
        <v>72020785490411.141</v>
      </c>
      <c r="G15" s="364">
        <f>INDEX('Combined Data'!$B$46:$AJ$46,1,MATCH('BPEiC-CO2'!$A15,'Combined Data'!$B$2:$AJ$2))*10^12</f>
        <v>124844429574328</v>
      </c>
      <c r="H15" s="364">
        <f>INDEX('Combined Data'!$B$59:$AJ$59,1,MATCH('BPEiC-CO2'!$A15,'Combined Data'!$B$2:$AJ$2))*10^12</f>
        <v>294911071542242.69</v>
      </c>
      <c r="I15" s="364">
        <f>INDEX('Combined Data'!$B$74:$AJ$74,1,MATCH('BPEiC-CO2'!$A15,'Combined Data'!$B$2:$AJ$2))*10^12</f>
        <v>64400000000.000038</v>
      </c>
    </row>
    <row r="16" spans="1:9" x14ac:dyDescent="0.25">
      <c r="A16" s="108">
        <v>2030</v>
      </c>
      <c r="B16" s="364">
        <v>0</v>
      </c>
      <c r="C16" s="364">
        <f>INDEX('Combined Data'!$B$9:$AJ$9,1,MATCH('BPEiC-CO2'!$A16,'Combined Data'!$B$2:$AJ$2))*10^12</f>
        <v>288417643724606.38</v>
      </c>
      <c r="D16" s="364">
        <f>INDEX('Combined Data'!$B$20:$AJ$20,1,MATCH('BPEiC-CO2'!$A16,'Combined Data'!$B$2:$AJ$2))*10^12</f>
        <v>8057351261.9203424</v>
      </c>
      <c r="E16" s="364">
        <v>0</v>
      </c>
      <c r="F16" s="364">
        <f>INDEX('Combined Data'!$B$38:$AJ$38,1,MATCH('BPEiC-CO2'!$A16,'Combined Data'!$B$2:$AJ$2))*10^12</f>
        <v>72638211449505.531</v>
      </c>
      <c r="G16" s="364">
        <f>INDEX('Combined Data'!$B$46:$AJ$46,1,MATCH('BPEiC-CO2'!$A16,'Combined Data'!$B$2:$AJ$2))*10^12</f>
        <v>122608720927463.59</v>
      </c>
      <c r="H16" s="364">
        <f>INDEX('Combined Data'!$B$59:$AJ$59,1,MATCH('BPEiC-CO2'!$A16,'Combined Data'!$B$2:$AJ$2))*10^12</f>
        <v>295789478396264.69</v>
      </c>
      <c r="I16" s="364">
        <f>INDEX('Combined Data'!$B$74:$AJ$74,1,MATCH('BPEiC-CO2'!$A16,'Combined Data'!$B$2:$AJ$2))*10^12</f>
        <v>67200000000.000038</v>
      </c>
    </row>
    <row r="17" spans="1:9" x14ac:dyDescent="0.25">
      <c r="A17" s="108">
        <v>2031</v>
      </c>
      <c r="B17" s="364">
        <v>0</v>
      </c>
      <c r="C17" s="364">
        <f>INDEX('Combined Data'!$B$9:$AJ$9,1,MATCH('BPEiC-CO2'!$A17,'Combined Data'!$B$2:$AJ$2))*10^12</f>
        <v>289723011209185.94</v>
      </c>
      <c r="D17" s="364">
        <f>INDEX('Combined Data'!$B$20:$AJ$20,1,MATCH('BPEiC-CO2'!$A17,'Combined Data'!$B$2:$AJ$2))*10^12</f>
        <v>7996563189.5168047</v>
      </c>
      <c r="E17" s="364">
        <v>0</v>
      </c>
      <c r="F17" s="364">
        <f>INDEX('Combined Data'!$B$38:$AJ$38,1,MATCH('BPEiC-CO2'!$A17,'Combined Data'!$B$2:$AJ$2))*10^12</f>
        <v>72289422790940.375</v>
      </c>
      <c r="G17" s="364">
        <f>INDEX('Combined Data'!$B$46:$AJ$46,1,MATCH('BPEiC-CO2'!$A17,'Combined Data'!$B$2:$AJ$2))*10^12</f>
        <v>120380265276252.27</v>
      </c>
      <c r="H17" s="364">
        <f>INDEX('Combined Data'!$B$59:$AJ$59,1,MATCH('BPEiC-CO2'!$A17,'Combined Data'!$B$2:$AJ$2))*10^12</f>
        <v>296679531762540.38</v>
      </c>
      <c r="I17" s="364">
        <f>INDEX('Combined Data'!$B$74:$AJ$74,1,MATCH('BPEiC-CO2'!$A17,'Combined Data'!$B$2:$AJ$2))*10^12</f>
        <v>70000000000.000046</v>
      </c>
    </row>
    <row r="18" spans="1:9" x14ac:dyDescent="0.25">
      <c r="A18" s="108">
        <v>2032</v>
      </c>
      <c r="B18" s="364">
        <v>0</v>
      </c>
      <c r="C18" s="364">
        <f>INDEX('Combined Data'!$B$9:$AJ$9,1,MATCH('BPEiC-CO2'!$A18,'Combined Data'!$B$2:$AJ$2))*10^12</f>
        <v>290400219852590.75</v>
      </c>
      <c r="D18" s="364">
        <f>INDEX('Combined Data'!$B$20:$AJ$20,1,MATCH('BPEiC-CO2'!$A18,'Combined Data'!$B$2:$AJ$2))*10^12</f>
        <v>7965009248.1574373</v>
      </c>
      <c r="E18" s="364">
        <v>0</v>
      </c>
      <c r="F18" s="364">
        <f>INDEX('Combined Data'!$B$38:$AJ$38,1,MATCH('BPEiC-CO2'!$A18,'Combined Data'!$B$2:$AJ$2))*10^12</f>
        <v>72115497458671.031</v>
      </c>
      <c r="G18" s="364">
        <f>INDEX('Combined Data'!$B$46:$AJ$46,1,MATCH('BPEiC-CO2'!$A18,'Combined Data'!$B$2:$AJ$2))*10^12</f>
        <v>118148694165776.98</v>
      </c>
      <c r="H18" s="364">
        <f>INDEX('Combined Data'!$B$59:$AJ$59,1,MATCH('BPEiC-CO2'!$A18,'Combined Data'!$B$2:$AJ$2))*10^12</f>
        <v>297581385321054.56</v>
      </c>
      <c r="I18" s="364">
        <f>INDEX('Combined Data'!$B$74:$AJ$74,1,MATCH('BPEiC-CO2'!$A18,'Combined Data'!$B$2:$AJ$2))*10^12</f>
        <v>72800000000.000046</v>
      </c>
    </row>
    <row r="19" spans="1:9" x14ac:dyDescent="0.25">
      <c r="A19" s="108">
        <v>2033</v>
      </c>
      <c r="B19" s="364">
        <v>0</v>
      </c>
      <c r="C19" s="364">
        <f>INDEX('Combined Data'!$B$9:$AJ$9,1,MATCH('BPEiC-CO2'!$A19,'Combined Data'!$B$2:$AJ$2))*10^12</f>
        <v>290778859766706.63</v>
      </c>
      <c r="D19" s="364">
        <f>INDEX('Combined Data'!$B$20:$AJ$20,1,MATCH('BPEiC-CO2'!$A19,'Combined Data'!$B$2:$AJ$2))*10^12</f>
        <v>7880352550.954874</v>
      </c>
      <c r="E19" s="364">
        <v>0</v>
      </c>
      <c r="F19" s="364">
        <f>INDEX('Combined Data'!$B$38:$AJ$38,1,MATCH('BPEiC-CO2'!$A19,'Combined Data'!$B$2:$AJ$2))*10^12</f>
        <v>72828196246994.734</v>
      </c>
      <c r="G19" s="364">
        <f>INDEX('Combined Data'!$B$46:$AJ$46,1,MATCH('BPEiC-CO2'!$A19,'Combined Data'!$B$2:$AJ$2))*10^12</f>
        <v>115927026762274.92</v>
      </c>
      <c r="H19" s="364">
        <f>INDEX('Combined Data'!$B$59:$AJ$59,1,MATCH('BPEiC-CO2'!$A19,'Combined Data'!$B$2:$AJ$2))*10^12</f>
        <v>298495195036489.94</v>
      </c>
      <c r="I19" s="364">
        <f>INDEX('Combined Data'!$B$74:$AJ$74,1,MATCH('BPEiC-CO2'!$A19,'Combined Data'!$B$2:$AJ$2))*10^12</f>
        <v>75600000000.000046</v>
      </c>
    </row>
    <row r="20" spans="1:9" x14ac:dyDescent="0.25">
      <c r="A20" s="108">
        <v>2034</v>
      </c>
      <c r="B20" s="364">
        <v>0</v>
      </c>
      <c r="C20" s="364">
        <f>INDEX('Combined Data'!$B$9:$AJ$9,1,MATCH('BPEiC-CO2'!$A20,'Combined Data'!$B$2:$AJ$2))*10^12</f>
        <v>292204717349763</v>
      </c>
      <c r="D20" s="364">
        <f>INDEX('Combined Data'!$B$20:$AJ$20,1,MATCH('BPEiC-CO2'!$A20,'Combined Data'!$B$2:$AJ$2))*10^12</f>
        <v>7810389550.7209225</v>
      </c>
      <c r="E20" s="364">
        <v>0</v>
      </c>
      <c r="F20" s="364">
        <f>INDEX('Combined Data'!$B$38:$AJ$38,1,MATCH('BPEiC-CO2'!$A20,'Combined Data'!$B$2:$AJ$2))*10^12</f>
        <v>71887720929997.109</v>
      </c>
      <c r="G20" s="364">
        <f>INDEX('Combined Data'!$B$46:$AJ$46,1,MATCH('BPEiC-CO2'!$A20,'Combined Data'!$B$2:$AJ$2))*10^12</f>
        <v>113721541291323.95</v>
      </c>
      <c r="H20" s="364">
        <f>INDEX('Combined Data'!$B$59:$AJ$59,1,MATCH('BPEiC-CO2'!$A20,'Combined Data'!$B$2:$AJ$2))*10^12</f>
        <v>299421119190393.69</v>
      </c>
      <c r="I20" s="364">
        <f>INDEX('Combined Data'!$B$74:$AJ$74,1,MATCH('BPEiC-CO2'!$A20,'Combined Data'!$B$2:$AJ$2))*10^12</f>
        <v>78400000000.000046</v>
      </c>
    </row>
    <row r="21" spans="1:9" x14ac:dyDescent="0.25">
      <c r="A21" s="108">
        <v>2035</v>
      </c>
      <c r="B21" s="364">
        <v>0</v>
      </c>
      <c r="C21" s="364">
        <f>INDEX('Combined Data'!$B$9:$AJ$9,1,MATCH('BPEiC-CO2'!$A21,'Combined Data'!$B$2:$AJ$2))*10^12</f>
        <v>293303462768006.94</v>
      </c>
      <c r="D21" s="364">
        <f>INDEX('Combined Data'!$B$20:$AJ$20,1,MATCH('BPEiC-CO2'!$A21,'Combined Data'!$B$2:$AJ$2))*10^12</f>
        <v>7728241133.3228254</v>
      </c>
      <c r="E21" s="364">
        <v>0</v>
      </c>
      <c r="F21" s="364">
        <f>INDEX('Combined Data'!$B$38:$AJ$38,1,MATCH('BPEiC-CO2'!$A21,'Combined Data'!$B$2:$AJ$2))*10^12</f>
        <v>72419250784160.797</v>
      </c>
      <c r="G21" s="364">
        <f>INDEX('Combined Data'!$B$46:$AJ$46,1,MATCH('BPEiC-CO2'!$A21,'Combined Data'!$B$2:$AJ$2))*10^12</f>
        <v>111528543501927.47</v>
      </c>
      <c r="H21" s="364">
        <f>INDEX('Combined Data'!$B$59:$AJ$59,1,MATCH('BPEiC-CO2'!$A21,'Combined Data'!$B$2:$AJ$2))*10^12</f>
        <v>300359318413828.38</v>
      </c>
      <c r="I21" s="364">
        <f>INDEX('Combined Data'!$B$74:$AJ$74,1,MATCH('BPEiC-CO2'!$A21,'Combined Data'!$B$2:$AJ$2))*10^12</f>
        <v>81200000000.000046</v>
      </c>
    </row>
    <row r="22" spans="1:9" x14ac:dyDescent="0.25">
      <c r="A22" s="108">
        <v>2036</v>
      </c>
      <c r="B22" s="364">
        <v>0</v>
      </c>
      <c r="C22" s="364">
        <f>INDEX('Combined Data'!$B$9:$AJ$9,1,MATCH('BPEiC-CO2'!$A22,'Combined Data'!$B$2:$AJ$2))*10^12</f>
        <v>294515139842014.5</v>
      </c>
      <c r="D22" s="364">
        <f>INDEX('Combined Data'!$B$20:$AJ$20,1,MATCH('BPEiC-CO2'!$A22,'Combined Data'!$B$2:$AJ$2))*10^12</f>
        <v>7684955161.7061977</v>
      </c>
      <c r="E22" s="364">
        <v>0</v>
      </c>
      <c r="F22" s="364">
        <f>INDEX('Combined Data'!$B$38:$AJ$38,1,MATCH('BPEiC-CO2'!$A22,'Combined Data'!$B$2:$AJ$2))*10^12</f>
        <v>72578235758218.766</v>
      </c>
      <c r="G22" s="364">
        <f>INDEX('Combined Data'!$B$46:$AJ$46,1,MATCH('BPEiC-CO2'!$A22,'Combined Data'!$B$2:$AJ$2))*10^12</f>
        <v>109355861788175.95</v>
      </c>
      <c r="H22" s="364">
        <f>INDEX('Combined Data'!$B$59:$AJ$59,1,MATCH('BPEiC-CO2'!$A22,'Combined Data'!$B$2:$AJ$2))*10^12</f>
        <v>301309955720508.88</v>
      </c>
      <c r="I22" s="364">
        <f>INDEX('Combined Data'!$B$74:$AJ$74,1,MATCH('BPEiC-CO2'!$A22,'Combined Data'!$B$2:$AJ$2))*10^12</f>
        <v>84000000000.000061</v>
      </c>
    </row>
    <row r="23" spans="1:9" x14ac:dyDescent="0.25">
      <c r="A23" s="108">
        <v>2037</v>
      </c>
      <c r="B23" s="364">
        <v>0</v>
      </c>
      <c r="C23" s="364">
        <f>INDEX('Combined Data'!$B$9:$AJ$9,1,MATCH('BPEiC-CO2'!$A23,'Combined Data'!$B$2:$AJ$2))*10^12</f>
        <v>296540978091237.38</v>
      </c>
      <c r="D23" s="364">
        <f>INDEX('Combined Data'!$B$20:$AJ$20,1,MATCH('BPEiC-CO2'!$A23,'Combined Data'!$B$2:$AJ$2))*10^12</f>
        <v>7598455204.1314459</v>
      </c>
      <c r="E23" s="364">
        <v>0</v>
      </c>
      <c r="F23" s="364">
        <f>INDEX('Combined Data'!$B$38:$AJ$38,1,MATCH('BPEiC-CO2'!$A23,'Combined Data'!$B$2:$AJ$2))*10^12</f>
        <v>73361376159559.188</v>
      </c>
      <c r="G23" s="364">
        <f>INDEX('Combined Data'!$B$46:$AJ$46,1,MATCH('BPEiC-CO2'!$A23,'Combined Data'!$B$2:$AJ$2))*10^12</f>
        <v>107175278001682.91</v>
      </c>
      <c r="H23" s="364">
        <f>INDEX('Combined Data'!$B$59:$AJ$59,1,MATCH('BPEiC-CO2'!$A23,'Combined Data'!$B$2:$AJ$2))*10^12</f>
        <v>302273196540435.25</v>
      </c>
      <c r="I23" s="364">
        <f>INDEX('Combined Data'!$B$74:$AJ$74,1,MATCH('BPEiC-CO2'!$A23,'Combined Data'!$B$2:$AJ$2))*10^12</f>
        <v>86800000000.000061</v>
      </c>
    </row>
    <row r="24" spans="1:9" x14ac:dyDescent="0.25">
      <c r="A24" s="108">
        <v>2038</v>
      </c>
      <c r="B24" s="364">
        <v>0</v>
      </c>
      <c r="C24" s="364">
        <f>INDEX('Combined Data'!$B$9:$AJ$9,1,MATCH('BPEiC-CO2'!$A24,'Combined Data'!$B$2:$AJ$2))*10^12</f>
        <v>297287840905973.44</v>
      </c>
      <c r="D24" s="364">
        <f>INDEX('Combined Data'!$B$20:$AJ$20,1,MATCH('BPEiC-CO2'!$A24,'Combined Data'!$B$2:$AJ$2))*10^12</f>
        <v>7624498915.2933321</v>
      </c>
      <c r="E24" s="364">
        <v>0</v>
      </c>
      <c r="F24" s="364">
        <f>INDEX('Combined Data'!$B$38:$AJ$38,1,MATCH('BPEiC-CO2'!$A24,'Combined Data'!$B$2:$AJ$2))*10^12</f>
        <v>73984476144843.438</v>
      </c>
      <c r="G24" s="364">
        <f>INDEX('Combined Data'!$B$46:$AJ$46,1,MATCH('BPEiC-CO2'!$A24,'Combined Data'!$B$2:$AJ$2))*10^12</f>
        <v>104995939768135.47</v>
      </c>
      <c r="H24" s="364">
        <f>INDEX('Combined Data'!$B$59:$AJ$59,1,MATCH('BPEiC-CO2'!$A24,'Combined Data'!$B$2:$AJ$2))*10^12</f>
        <v>303249208754027.13</v>
      </c>
      <c r="I24" s="364">
        <f>INDEX('Combined Data'!$B$74:$AJ$74,1,MATCH('BPEiC-CO2'!$A24,'Combined Data'!$B$2:$AJ$2))*10^12</f>
        <v>89600000000.000061</v>
      </c>
    </row>
    <row r="25" spans="1:9" x14ac:dyDescent="0.25">
      <c r="A25" s="108">
        <v>2039</v>
      </c>
      <c r="B25" s="364">
        <v>0</v>
      </c>
      <c r="C25" s="364">
        <f>INDEX('Combined Data'!$B$9:$AJ$9,1,MATCH('BPEiC-CO2'!$A25,'Combined Data'!$B$2:$AJ$2))*10^12</f>
        <v>298647237026577.75</v>
      </c>
      <c r="D25" s="364">
        <f>INDEX('Combined Data'!$B$20:$AJ$20,1,MATCH('BPEiC-CO2'!$A25,'Combined Data'!$B$2:$AJ$2))*10^12</f>
        <v>7665821160.6550522</v>
      </c>
      <c r="E25" s="364">
        <v>0</v>
      </c>
      <c r="F25" s="364">
        <f>INDEX('Combined Data'!$B$38:$AJ$38,1,MATCH('BPEiC-CO2'!$A25,'Combined Data'!$B$2:$AJ$2))*10^12</f>
        <v>75192103825632.797</v>
      </c>
      <c r="G25" s="364">
        <f>INDEX('Combined Data'!$B$46:$AJ$46,1,MATCH('BPEiC-CO2'!$A25,'Combined Data'!$B$2:$AJ$2))*10^12</f>
        <v>102840137472978.36</v>
      </c>
      <c r="H25" s="364">
        <f>INDEX('Combined Data'!$B$59:$AJ$59,1,MATCH('BPEiC-CO2'!$A25,'Combined Data'!$B$2:$AJ$2))*10^12</f>
        <v>304238162726767.31</v>
      </c>
      <c r="I25" s="364">
        <f>INDEX('Combined Data'!$B$74:$AJ$74,1,MATCH('BPEiC-CO2'!$A25,'Combined Data'!$B$2:$AJ$2))*10^12</f>
        <v>92400000000.000061</v>
      </c>
    </row>
    <row r="26" spans="1:9" x14ac:dyDescent="0.25">
      <c r="A26" s="108">
        <v>2040</v>
      </c>
      <c r="B26" s="364">
        <v>0</v>
      </c>
      <c r="C26" s="364">
        <f>INDEX('Combined Data'!$B$9:$AJ$9,1,MATCH('BPEiC-CO2'!$A26,'Combined Data'!$B$2:$AJ$2))*10^12</f>
        <v>300549778378770.25</v>
      </c>
      <c r="D26" s="364">
        <f>INDEX('Combined Data'!$B$20:$AJ$20,1,MATCH('BPEiC-CO2'!$A26,'Combined Data'!$B$2:$AJ$2))*10^12</f>
        <v>7661589968.876462</v>
      </c>
      <c r="E26" s="364">
        <v>0</v>
      </c>
      <c r="F26" s="364">
        <f>INDEX('Combined Data'!$B$38:$AJ$38,1,MATCH('BPEiC-CO2'!$A26,'Combined Data'!$B$2:$AJ$2))*10^12</f>
        <v>75977238464823.141</v>
      </c>
      <c r="G26" s="364">
        <f>INDEX('Combined Data'!$B$46:$AJ$46,1,MATCH('BPEiC-CO2'!$A26,'Combined Data'!$B$2:$AJ$2))*10^12</f>
        <v>100671397299294.2</v>
      </c>
      <c r="H26" s="364">
        <f>INDEX('Combined Data'!$B$59:$AJ$59,1,MATCH('BPEiC-CO2'!$A26,'Combined Data'!$B$2:$AJ$2))*10^12</f>
        <v>305240231344362.25</v>
      </c>
      <c r="I26" s="364">
        <f>INDEX('Combined Data'!$B$74:$AJ$74,1,MATCH('BPEiC-CO2'!$A26,'Combined Data'!$B$2:$AJ$2))*10^12</f>
        <v>95200000000.000061</v>
      </c>
    </row>
    <row r="27" spans="1:9" x14ac:dyDescent="0.25">
      <c r="A27" s="108">
        <v>2041</v>
      </c>
      <c r="B27" s="364">
        <v>0</v>
      </c>
      <c r="C27" s="364">
        <f>INDEX('Combined Data'!$B$9:$AJ$9,1,MATCH('BPEiC-CO2'!$A27,'Combined Data'!$B$2:$AJ$2))*10^12</f>
        <v>302224049246698.06</v>
      </c>
      <c r="D27" s="364">
        <f>INDEX('Combined Data'!$B$20:$AJ$20,1,MATCH('BPEiC-CO2'!$A27,'Combined Data'!$B$2:$AJ$2))*10^12</f>
        <v>7620510708.0593958</v>
      </c>
      <c r="E27" s="364">
        <v>0</v>
      </c>
      <c r="F27" s="364">
        <f>INDEX('Combined Data'!$B$38:$AJ$38,1,MATCH('BPEiC-CO2'!$A27,'Combined Data'!$B$2:$AJ$2))*10^12</f>
        <v>75906722601556.75</v>
      </c>
      <c r="G27" s="364">
        <f>INDEX('Combined Data'!$B$46:$AJ$46,1,MATCH('BPEiC-CO2'!$A27,'Combined Data'!$B$2:$AJ$2))*10^12</f>
        <v>98492514472827.469</v>
      </c>
      <c r="H27" s="364">
        <f>INDEX('Combined Data'!$B$59:$AJ$59,1,MATCH('BPEiC-CO2'!$A27,'Combined Data'!$B$2:$AJ$2))*10^12</f>
        <v>306255590048425.81</v>
      </c>
      <c r="I27" s="364">
        <f>INDEX('Combined Data'!$B$74:$AJ$74,1,MATCH('BPEiC-CO2'!$A27,'Combined Data'!$B$2:$AJ$2))*10^12</f>
        <v>98000000000.000061</v>
      </c>
    </row>
    <row r="28" spans="1:9" x14ac:dyDescent="0.25">
      <c r="A28" s="108">
        <v>2042</v>
      </c>
      <c r="B28" s="364">
        <v>0</v>
      </c>
      <c r="C28" s="364">
        <f>INDEX('Combined Data'!$B$9:$AJ$9,1,MATCH('BPEiC-CO2'!$A28,'Combined Data'!$B$2:$AJ$2))*10^12</f>
        <v>303900166218587.38</v>
      </c>
      <c r="D28" s="364">
        <f>INDEX('Combined Data'!$B$20:$AJ$20,1,MATCH('BPEiC-CO2'!$A28,'Combined Data'!$B$2:$AJ$2))*10^12</f>
        <v>7618778363.5144672</v>
      </c>
      <c r="E28" s="364">
        <v>0</v>
      </c>
      <c r="F28" s="364">
        <f>INDEX('Combined Data'!$B$38:$AJ$38,1,MATCH('BPEiC-CO2'!$A28,'Combined Data'!$B$2:$AJ$2))*10^12</f>
        <v>75715540490840.531</v>
      </c>
      <c r="G28" s="364">
        <f>INDEX('Combined Data'!$B$46:$AJ$46,1,MATCH('BPEiC-CO2'!$A28,'Combined Data'!$B$2:$AJ$2))*10^12</f>
        <v>96321313894349.391</v>
      </c>
      <c r="H28" s="364">
        <f>INDEX('Combined Data'!$B$59:$AJ$59,1,MATCH('BPEiC-CO2'!$A28,'Combined Data'!$B$2:$AJ$2))*10^12</f>
        <v>307284416872694.31</v>
      </c>
      <c r="I28" s="364">
        <f>INDEX('Combined Data'!$B$74:$AJ$74,1,MATCH('BPEiC-CO2'!$A28,'Combined Data'!$B$2:$AJ$2))*10^12</f>
        <v>100800000000.00008</v>
      </c>
    </row>
    <row r="29" spans="1:9" x14ac:dyDescent="0.25">
      <c r="A29" s="108">
        <v>2043</v>
      </c>
      <c r="B29" s="364">
        <v>0</v>
      </c>
      <c r="C29" s="364">
        <f>INDEX('Combined Data'!$B$9:$AJ$9,1,MATCH('BPEiC-CO2'!$A29,'Combined Data'!$B$2:$AJ$2))*10^12</f>
        <v>305424815641750.81</v>
      </c>
      <c r="D29" s="364">
        <f>INDEX('Combined Data'!$B$20:$AJ$20,1,MATCH('BPEiC-CO2'!$A29,'Combined Data'!$B$2:$AJ$2))*10^12</f>
        <v>7649999407.0582867</v>
      </c>
      <c r="E29" s="364">
        <v>0</v>
      </c>
      <c r="F29" s="364">
        <f>INDEX('Combined Data'!$B$38:$AJ$38,1,MATCH('BPEiC-CO2'!$A29,'Combined Data'!$B$2:$AJ$2))*10^12</f>
        <v>75723227381155.141</v>
      </c>
      <c r="G29" s="364">
        <f>INDEX('Combined Data'!$B$46:$AJ$46,1,MATCH('BPEiC-CO2'!$A29,'Combined Data'!$B$2:$AJ$2))*10^12</f>
        <v>94156539612922.422</v>
      </c>
      <c r="H29" s="364">
        <f>INDEX('Combined Data'!$B$59:$AJ$59,1,MATCH('BPEiC-CO2'!$A29,'Combined Data'!$B$2:$AJ$2))*10^12</f>
        <v>308326892479781.38</v>
      </c>
      <c r="I29" s="364">
        <f>INDEX('Combined Data'!$B$74:$AJ$74,1,MATCH('BPEiC-CO2'!$A29,'Combined Data'!$B$2:$AJ$2))*10^12</f>
        <v>103600000000.00006</v>
      </c>
    </row>
    <row r="30" spans="1:9" x14ac:dyDescent="0.25">
      <c r="A30" s="108">
        <v>2044</v>
      </c>
      <c r="B30" s="364">
        <v>0</v>
      </c>
      <c r="C30" s="364">
        <f>INDEX('Combined Data'!$B$9:$AJ$9,1,MATCH('BPEiC-CO2'!$A30,'Combined Data'!$B$2:$AJ$2))*10^12</f>
        <v>306490345851539.25</v>
      </c>
      <c r="D30" s="364">
        <f>INDEX('Combined Data'!$B$20:$AJ$20,1,MATCH('BPEiC-CO2'!$A30,'Combined Data'!$B$2:$AJ$2))*10^12</f>
        <v>7728630635.2827272</v>
      </c>
      <c r="E30" s="364">
        <v>0</v>
      </c>
      <c r="F30" s="364">
        <f>INDEX('Combined Data'!$B$38:$AJ$38,1,MATCH('BPEiC-CO2'!$A30,'Combined Data'!$B$2:$AJ$2))*10^12</f>
        <v>75045058414330.047</v>
      </c>
      <c r="G30" s="364">
        <f>INDEX('Combined Data'!$B$46:$AJ$46,1,MATCH('BPEiC-CO2'!$A30,'Combined Data'!$B$2:$AJ$2))*10^12</f>
        <v>91998331369739.563</v>
      </c>
      <c r="H30" s="364">
        <f>INDEX('Combined Data'!$B$59:$AJ$59,1,MATCH('BPEiC-CO2'!$A30,'Combined Data'!$B$2:$AJ$2))*10^12</f>
        <v>309383200198478.13</v>
      </c>
      <c r="I30" s="364">
        <f>INDEX('Combined Data'!$B$74:$AJ$74,1,MATCH('BPEiC-CO2'!$A30,'Combined Data'!$B$2:$AJ$2))*10^12</f>
        <v>106400000000.00006</v>
      </c>
    </row>
    <row r="31" spans="1:9" x14ac:dyDescent="0.25">
      <c r="A31" s="108">
        <v>2045</v>
      </c>
      <c r="B31" s="364">
        <v>0</v>
      </c>
      <c r="C31" s="364">
        <f>INDEX('Combined Data'!$B$9:$AJ$9,1,MATCH('BPEiC-CO2'!$A31,'Combined Data'!$B$2:$AJ$2))*10^12</f>
        <v>306898998695496.44</v>
      </c>
      <c r="D31" s="364">
        <f>INDEX('Combined Data'!$B$20:$AJ$20,1,MATCH('BPEiC-CO2'!$A31,'Combined Data'!$B$2:$AJ$2))*10^12</f>
        <v>7800664836.9926529</v>
      </c>
      <c r="E31" s="364">
        <v>0</v>
      </c>
      <c r="F31" s="364">
        <f>INDEX('Combined Data'!$B$38:$AJ$38,1,MATCH('BPEiC-CO2'!$A31,'Combined Data'!$B$2:$AJ$2))*10^12</f>
        <v>75067552314827.766</v>
      </c>
      <c r="G31" s="364">
        <f>INDEX('Combined Data'!$B$46:$AJ$46,1,MATCH('BPEiC-CO2'!$A31,'Combined Data'!$B$2:$AJ$2))*10^12</f>
        <v>89843554642634.188</v>
      </c>
      <c r="H31" s="364">
        <f>INDEX('Combined Data'!$B$59:$AJ$59,1,MATCH('BPEiC-CO2'!$A31,'Combined Data'!$B$2:$AJ$2))*10^12</f>
        <v>310453526061609.13</v>
      </c>
      <c r="I31" s="364">
        <f>INDEX('Combined Data'!$B$74:$AJ$74,1,MATCH('BPEiC-CO2'!$A31,'Combined Data'!$B$2:$AJ$2))*10^12</f>
        <v>109200000000.00008</v>
      </c>
    </row>
    <row r="32" spans="1:9" x14ac:dyDescent="0.25">
      <c r="A32" s="108">
        <v>2046</v>
      </c>
      <c r="B32" s="364">
        <v>0</v>
      </c>
      <c r="C32" s="364">
        <f>INDEX('Combined Data'!$B$9:$AJ$9,1,MATCH('BPEiC-CO2'!$A32,'Combined Data'!$B$2:$AJ$2))*10^12</f>
        <v>308016799894671</v>
      </c>
      <c r="D32" s="364">
        <f>INDEX('Combined Data'!$B$20:$AJ$20,1,MATCH('BPEiC-CO2'!$A32,'Combined Data'!$B$2:$AJ$2))*10^12</f>
        <v>7868667087.5747728</v>
      </c>
      <c r="E32" s="364">
        <v>0</v>
      </c>
      <c r="F32" s="364">
        <f>INDEX('Combined Data'!$B$38:$AJ$38,1,MATCH('BPEiC-CO2'!$A32,'Combined Data'!$B$2:$AJ$2))*10^12</f>
        <v>75403263026512.516</v>
      </c>
      <c r="G32" s="364">
        <f>INDEX('Combined Data'!$B$46:$AJ$46,1,MATCH('BPEiC-CO2'!$A32,'Combined Data'!$B$2:$AJ$2))*10^12</f>
        <v>87688750175070.172</v>
      </c>
      <c r="H32" s="364">
        <f>INDEX('Combined Data'!$B$59:$AJ$59,1,MATCH('BPEiC-CO2'!$A32,'Combined Data'!$B$2:$AJ$2))*10^12</f>
        <v>311538058844449.69</v>
      </c>
      <c r="I32" s="364">
        <f>INDEX('Combined Data'!$B$74:$AJ$74,1,MATCH('BPEiC-CO2'!$A32,'Combined Data'!$B$2:$AJ$2))*10^12</f>
        <v>112000000000.00008</v>
      </c>
    </row>
    <row r="33" spans="1:9" x14ac:dyDescent="0.25">
      <c r="A33" s="108">
        <v>2047</v>
      </c>
      <c r="B33" s="364">
        <v>0</v>
      </c>
      <c r="C33" s="364">
        <f>INDEX('Combined Data'!$B$9:$AJ$9,1,MATCH('BPEiC-CO2'!$A33,'Combined Data'!$B$2:$AJ$2))*10^12</f>
        <v>309572449280300.44</v>
      </c>
      <c r="D33" s="364">
        <f>INDEX('Combined Data'!$B$20:$AJ$20,1,MATCH('BPEiC-CO2'!$A33,'Combined Data'!$B$2:$AJ$2))*10^12</f>
        <v>7888321745.034812</v>
      </c>
      <c r="E33" s="364">
        <v>0</v>
      </c>
      <c r="F33" s="364">
        <f>INDEX('Combined Data'!$B$38:$AJ$38,1,MATCH('BPEiC-CO2'!$A33,'Combined Data'!$B$2:$AJ$2))*10^12</f>
        <v>75838290927323.156</v>
      </c>
      <c r="G33" s="364">
        <f>INDEX('Combined Data'!$B$46:$AJ$46,1,MATCH('BPEiC-CO2'!$A33,'Combined Data'!$B$2:$AJ$2))*10^12</f>
        <v>85552748825244.563</v>
      </c>
      <c r="H33" s="364">
        <f>INDEX('Combined Data'!$B$59:$AJ$59,1,MATCH('BPEiC-CO2'!$A33,'Combined Data'!$B$2:$AJ$2))*10^12</f>
        <v>312636990103714.44</v>
      </c>
      <c r="I33" s="364">
        <f>INDEX('Combined Data'!$B$74:$AJ$74,1,MATCH('BPEiC-CO2'!$A33,'Combined Data'!$B$2:$AJ$2))*10^12</f>
        <v>114800000000.00006</v>
      </c>
    </row>
    <row r="34" spans="1:9" x14ac:dyDescent="0.25">
      <c r="A34" s="108">
        <v>2048</v>
      </c>
      <c r="B34" s="364">
        <v>0</v>
      </c>
      <c r="C34" s="364">
        <f>INDEX('Combined Data'!$B$9:$AJ$9,1,MATCH('BPEiC-CO2'!$A34,'Combined Data'!$B$2:$AJ$2))*10^12</f>
        <v>310798111708459.19</v>
      </c>
      <c r="D34" s="364">
        <f>INDEX('Combined Data'!$B$20:$AJ$20,1,MATCH('BPEiC-CO2'!$A34,'Combined Data'!$B$2:$AJ$2))*10^12</f>
        <v>7864396441.7696428</v>
      </c>
      <c r="E34" s="364">
        <v>0</v>
      </c>
      <c r="F34" s="364">
        <f>INDEX('Combined Data'!$B$38:$AJ$38,1,MATCH('BPEiC-CO2'!$A34,'Combined Data'!$B$2:$AJ$2))*10^12</f>
        <v>76239591615305.25</v>
      </c>
      <c r="G34" s="364">
        <f>INDEX('Combined Data'!$B$46:$AJ$46,1,MATCH('BPEiC-CO2'!$A34,'Combined Data'!$B$2:$AJ$2))*10^12</f>
        <v>83426003176281.797</v>
      </c>
      <c r="H34" s="364">
        <f>INDEX('Combined Data'!$B$59:$AJ$59,1,MATCH('BPEiC-CO2'!$A34,'Combined Data'!$B$2:$AJ$2))*10^12</f>
        <v>313750514217124.06</v>
      </c>
      <c r="I34" s="364">
        <f>INDEX('Combined Data'!$B$74:$AJ$74,1,MATCH('BPEiC-CO2'!$A34,'Combined Data'!$B$2:$AJ$2))*10^12</f>
        <v>117600000000.00005</v>
      </c>
    </row>
    <row r="35" spans="1:9" x14ac:dyDescent="0.25">
      <c r="A35" s="108">
        <v>2049</v>
      </c>
      <c r="B35" s="364">
        <v>0</v>
      </c>
      <c r="C35" s="364">
        <f>INDEX('Combined Data'!$B$9:$AJ$9,1,MATCH('BPEiC-CO2'!$A35,'Combined Data'!$B$2:$AJ$2))*10^12</f>
        <v>311953771226900.69</v>
      </c>
      <c r="D35" s="364">
        <f>INDEX('Combined Data'!$B$20:$AJ$20,1,MATCH('BPEiC-CO2'!$A35,'Combined Data'!$B$2:$AJ$2))*10^12</f>
        <v>7909221922.7250185</v>
      </c>
      <c r="E35" s="364">
        <v>0</v>
      </c>
      <c r="F35" s="364">
        <f>INDEX('Combined Data'!$B$38:$AJ$38,1,MATCH('BPEiC-CO2'!$A35,'Combined Data'!$B$2:$AJ$2))*10^12</f>
        <v>76469663963356.063</v>
      </c>
      <c r="G35" s="364">
        <f>INDEX('Combined Data'!$B$46:$AJ$46,1,MATCH('BPEiC-CO2'!$A35,'Combined Data'!$B$2:$AJ$2))*10^12</f>
        <v>81309517236284.203</v>
      </c>
      <c r="H35" s="364">
        <f>INDEX('Combined Data'!$B$59:$AJ$59,1,MATCH('BPEiC-CO2'!$A35,'Combined Data'!$B$2:$AJ$2))*10^12</f>
        <v>314878828423559.56</v>
      </c>
      <c r="I35" s="364">
        <f>INDEX('Combined Data'!$B$74:$AJ$74,1,MATCH('BPEiC-CO2'!$A35,'Combined Data'!$B$2:$AJ$2))*10^12</f>
        <v>120400000000.00005</v>
      </c>
    </row>
    <row r="36" spans="1:9" x14ac:dyDescent="0.25">
      <c r="A36" s="108">
        <v>2050</v>
      </c>
      <c r="B36" s="364">
        <v>0</v>
      </c>
      <c r="C36" s="364">
        <f>INDEX('Combined Data'!$B$9:$AJ$9,1,MATCH('BPEiC-CO2'!$A36,'Combined Data'!$B$2:$AJ$2))*10^12</f>
        <v>311606513945909.44</v>
      </c>
      <c r="D36" s="364">
        <f>INDEX('Combined Data'!$B$20:$AJ$20,1,MATCH('BPEiC-CO2'!$A36,'Combined Data'!$B$2:$AJ$2))*10^12</f>
        <v>8005247355.5941048</v>
      </c>
      <c r="E36" s="364">
        <v>0</v>
      </c>
      <c r="F36" s="364">
        <f>INDEX('Combined Data'!$B$38:$AJ$38,1,MATCH('BPEiC-CO2'!$A36,'Combined Data'!$B$2:$AJ$2))*10^12</f>
        <v>76207681183008.516</v>
      </c>
      <c r="G36" s="364">
        <f>INDEX('Combined Data'!$B$46:$AJ$46,1,MATCH('BPEiC-CO2'!$A36,'Combined Data'!$B$2:$AJ$2))*10^12</f>
        <v>79204014374895.313</v>
      </c>
      <c r="H36" s="364">
        <f>INDEX('Combined Data'!$B$59:$AJ$59,1,MATCH('BPEiC-CO2'!$A36,'Combined Data'!$B$2:$AJ$2))*10^12</f>
        <v>316022132863811.31</v>
      </c>
      <c r="I36" s="364">
        <f>INDEX('Combined Data'!$B$74:$AJ$74,1,MATCH('BPEiC-CO2'!$A36,'Combined Data'!$B$2:$AJ$2))*10^12</f>
        <v>123200000000.00003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3"/>
  </sheetPr>
  <dimension ref="A1:I36"/>
  <sheetViews>
    <sheetView zoomScaleNormal="100" workbookViewId="0">
      <selection activeCell="I2" sqref="B2:I36"/>
    </sheetView>
  </sheetViews>
  <sheetFormatPr defaultColWidth="10.28515625" defaultRowHeight="15" x14ac:dyDescent="0.25"/>
  <cols>
    <col min="1" max="1" width="10.28515625" style="108"/>
    <col min="2" max="9" width="20.140625" style="108" customWidth="1"/>
    <col min="10" max="16384" width="10.28515625" style="106"/>
  </cols>
  <sheetData>
    <row r="1" spans="1:9" x14ac:dyDescent="0.25">
      <c r="A1" s="108" t="s">
        <v>240</v>
      </c>
      <c r="B1" s="108" t="s">
        <v>854</v>
      </c>
      <c r="C1" s="108" t="s">
        <v>855</v>
      </c>
      <c r="D1" s="108" t="s">
        <v>856</v>
      </c>
      <c r="E1" s="108" t="s">
        <v>857</v>
      </c>
      <c r="F1" s="108" t="s">
        <v>858</v>
      </c>
      <c r="G1" s="108" t="s">
        <v>859</v>
      </c>
      <c r="H1" s="108" t="s">
        <v>860</v>
      </c>
      <c r="I1" s="108" t="s">
        <v>861</v>
      </c>
    </row>
    <row r="2" spans="1:9" x14ac:dyDescent="0.25">
      <c r="A2" s="108">
        <v>2016</v>
      </c>
      <c r="B2" s="364">
        <v>0</v>
      </c>
      <c r="C2" s="364">
        <v>0</v>
      </c>
      <c r="D2" s="364">
        <v>0</v>
      </c>
      <c r="E2" s="364">
        <f>INDEX('Combined Data'!$B$27:$AJ$27,1,MATCH('BPEiC-CO2'!$A2,'Combined Data'!$B$2:$AJ$2))*10^12</f>
        <v>15105000000000</v>
      </c>
      <c r="F2" s="364">
        <v>0</v>
      </c>
      <c r="G2" s="364">
        <f>INDEX('Combined Data'!$B$45:$AJ$45,1,MATCH('BPEiC-CO2'!$A2,'Combined Data'!$B$2:$AJ$2))*10^12</f>
        <v>5537107796000</v>
      </c>
      <c r="H2" s="364">
        <f>INDEX('Combined Data'!$B$58:$AJ$58,1,MATCH('BPEiC-CO2'!$A2,'Combined Data'!$B$2:$AJ$2))*10^12</f>
        <v>204330308137700.69</v>
      </c>
      <c r="I2" s="364">
        <f>INDEX('Combined Data'!$B$73:$AJ$73,1,MATCH('BPEiC-CO2'!$A2,'Combined Data'!$B$2:$AJ$2))*10^12</f>
        <v>3975000000000</v>
      </c>
    </row>
    <row r="3" spans="1:9" x14ac:dyDescent="0.25">
      <c r="A3" s="108">
        <v>2017</v>
      </c>
      <c r="B3" s="364">
        <v>0</v>
      </c>
      <c r="C3" s="364">
        <v>0</v>
      </c>
      <c r="D3" s="364">
        <v>0</v>
      </c>
      <c r="E3" s="364">
        <f>INDEX('Combined Data'!$B$27:$AJ$27,1,MATCH('BPEiC-CO2'!$A3,'Combined Data'!$B$2:$AJ$2))*10^12</f>
        <v>13226952523608.053</v>
      </c>
      <c r="F3" s="364">
        <v>0</v>
      </c>
      <c r="G3" s="364">
        <f>INDEX('Combined Data'!$B$45:$AJ$45,1,MATCH('BPEiC-CO2'!$A3,'Combined Data'!$B$2:$AJ$2))*10^12</f>
        <v>5543797886909.6143</v>
      </c>
      <c r="H3" s="364">
        <f>INDEX('Combined Data'!$B$58:$AJ$58,1,MATCH('BPEiC-CO2'!$A3,'Combined Data'!$B$2:$AJ$2))*10^12</f>
        <v>204768799773062.94</v>
      </c>
      <c r="I3" s="364">
        <f>INDEX('Combined Data'!$B$73:$AJ$73,1,MATCH('BPEiC-CO2'!$A3,'Combined Data'!$B$2:$AJ$2))*10^12</f>
        <v>3992175312499.9995</v>
      </c>
    </row>
    <row r="4" spans="1:9" x14ac:dyDescent="0.25">
      <c r="A4" s="108">
        <v>2018</v>
      </c>
      <c r="B4" s="364">
        <v>0</v>
      </c>
      <c r="C4" s="364">
        <v>0</v>
      </c>
      <c r="D4" s="364">
        <v>0</v>
      </c>
      <c r="E4" s="364">
        <f>INDEX('Combined Data'!$B$27:$AJ$27,1,MATCH('BPEiC-CO2'!$A4,'Combined Data'!$B$2:$AJ$2))*10^12</f>
        <v>13062436370424.254</v>
      </c>
      <c r="F4" s="364">
        <v>0</v>
      </c>
      <c r="G4" s="364">
        <f>INDEX('Combined Data'!$B$45:$AJ$45,1,MATCH('BPEiC-CO2'!$A4,'Combined Data'!$B$2:$AJ$2))*10^12</f>
        <v>5583379492369.7314</v>
      </c>
      <c r="H4" s="364">
        <f>INDEX('Combined Data'!$B$58:$AJ$58,1,MATCH('BPEiC-CO2'!$A4,'Combined Data'!$B$2:$AJ$2))*10^12</f>
        <v>205782833530869.53</v>
      </c>
      <c r="I4" s="364">
        <f>INDEX('Combined Data'!$B$73:$AJ$73,1,MATCH('BPEiC-CO2'!$A4,'Combined Data'!$B$2:$AJ$2))*10^12</f>
        <v>4008539021093.7495</v>
      </c>
    </row>
    <row r="5" spans="1:9" x14ac:dyDescent="0.25">
      <c r="A5" s="108">
        <v>2019</v>
      </c>
      <c r="B5" s="364">
        <v>0</v>
      </c>
      <c r="C5" s="364">
        <v>0</v>
      </c>
      <c r="D5" s="364">
        <v>0</v>
      </c>
      <c r="E5" s="364">
        <f>INDEX('Combined Data'!$B$27:$AJ$27,1,MATCH('BPEiC-CO2'!$A5,'Combined Data'!$B$2:$AJ$2))*10^12</f>
        <v>12901993132098.434</v>
      </c>
      <c r="F5" s="364">
        <v>0</v>
      </c>
      <c r="G5" s="364">
        <f>INDEX('Combined Data'!$B$45:$AJ$45,1,MATCH('BPEiC-CO2'!$A5,'Combined Data'!$B$2:$AJ$2))*10^12</f>
        <v>5623444153101.8945</v>
      </c>
      <c r="H5" s="364">
        <f>INDEX('Combined Data'!$B$58:$AJ$58,1,MATCH('BPEiC-CO2'!$A5,'Combined Data'!$B$2:$AJ$2))*10^12</f>
        <v>205759472085543.63</v>
      </c>
      <c r="I5" s="364">
        <f>INDEX('Combined Data'!$B$73:$AJ$73,1,MATCH('BPEiC-CO2'!$A5,'Combined Data'!$B$2:$AJ$2))*10^12</f>
        <v>4023742876083.0073</v>
      </c>
    </row>
    <row r="6" spans="1:9" x14ac:dyDescent="0.25">
      <c r="A6" s="108">
        <v>2020</v>
      </c>
      <c r="B6" s="364">
        <v>0</v>
      </c>
      <c r="C6" s="364">
        <v>0</v>
      </c>
      <c r="D6" s="364">
        <v>0</v>
      </c>
      <c r="E6" s="364">
        <f>INDEX('Combined Data'!$B$27:$AJ$27,1,MATCH('BPEiC-CO2'!$A6,'Combined Data'!$B$2:$AJ$2))*10^12</f>
        <v>12745496586779.727</v>
      </c>
      <c r="F6" s="364">
        <v>0</v>
      </c>
      <c r="G6" s="364">
        <f>INDEX('Combined Data'!$B$45:$AJ$45,1,MATCH('BPEiC-CO2'!$A6,'Combined Data'!$B$2:$AJ$2))*10^12</f>
        <v>5663546442888.6426</v>
      </c>
      <c r="H6" s="364">
        <f>INDEX('Combined Data'!$B$58:$AJ$58,1,MATCH('BPEiC-CO2'!$A6,'Combined Data'!$B$2:$AJ$2))*10^12</f>
        <v>206022076410562.72</v>
      </c>
      <c r="I6" s="364">
        <f>INDEX('Combined Data'!$B$73:$AJ$73,1,MATCH('BPEiC-CO2'!$A6,'Combined Data'!$B$2:$AJ$2))*10^12</f>
        <v>4037442519887.1587</v>
      </c>
    </row>
    <row r="7" spans="1:9" x14ac:dyDescent="0.25">
      <c r="A7" s="108">
        <v>2021</v>
      </c>
      <c r="B7" s="364">
        <v>0</v>
      </c>
      <c r="C7" s="364">
        <v>0</v>
      </c>
      <c r="D7" s="364">
        <v>0</v>
      </c>
      <c r="E7" s="364">
        <f>INDEX('Combined Data'!$B$27:$AJ$27,1,MATCH('BPEiC-CO2'!$A7,'Combined Data'!$B$2:$AJ$2))*10^12</f>
        <v>12592824584094.752</v>
      </c>
      <c r="F7" s="364">
        <v>0</v>
      </c>
      <c r="G7" s="364">
        <f>INDEX('Combined Data'!$B$45:$AJ$45,1,MATCH('BPEiC-CO2'!$A7,'Combined Data'!$B$2:$AJ$2))*10^12</f>
        <v>5703613923295.5879</v>
      </c>
      <c r="H7" s="364">
        <f>INDEX('Combined Data'!$B$58:$AJ$58,1,MATCH('BPEiC-CO2'!$A7,'Combined Data'!$B$2:$AJ$2))*10^12</f>
        <v>206006820790180.03</v>
      </c>
      <c r="I7" s="364">
        <f>INDEX('Combined Data'!$B$73:$AJ$73,1,MATCH('BPEiC-CO2'!$A7,'Combined Data'!$B$2:$AJ$2))*10^12</f>
        <v>4051827145881.5161</v>
      </c>
    </row>
    <row r="8" spans="1:9" x14ac:dyDescent="0.25">
      <c r="A8" s="108">
        <v>2022</v>
      </c>
      <c r="B8" s="364">
        <v>0</v>
      </c>
      <c r="C8" s="364">
        <v>0</v>
      </c>
      <c r="D8" s="364">
        <v>0</v>
      </c>
      <c r="E8" s="364">
        <f>INDEX('Combined Data'!$B$27:$AJ$27,1,MATCH('BPEiC-CO2'!$A8,'Combined Data'!$B$2:$AJ$2))*10^12</f>
        <v>12443858913012.516</v>
      </c>
      <c r="F8" s="364">
        <v>0</v>
      </c>
      <c r="G8" s="364">
        <f>INDEX('Combined Data'!$B$45:$AJ$45,1,MATCH('BPEiC-CO2'!$A8,'Combined Data'!$B$2:$AJ$2))*10^12</f>
        <v>5743610457353.8809</v>
      </c>
      <c r="H8" s="364">
        <f>INDEX('Combined Data'!$B$58:$AJ$58,1,MATCH('BPEiC-CO2'!$A8,'Combined Data'!$B$2:$AJ$2))*10^12</f>
        <v>205989654783692.41</v>
      </c>
      <c r="I8" s="364">
        <f>INDEX('Combined Data'!$B$73:$AJ$73,1,MATCH('BPEiC-CO2'!$A8,'Combined Data'!$B$2:$AJ$2))*10^12</f>
        <v>4066931003175.5918</v>
      </c>
    </row>
    <row r="9" spans="1:9" x14ac:dyDescent="0.25">
      <c r="A9" s="108">
        <v>2023</v>
      </c>
      <c r="B9" s="364">
        <v>0</v>
      </c>
      <c r="C9" s="364">
        <v>0</v>
      </c>
      <c r="D9" s="364">
        <v>0</v>
      </c>
      <c r="E9" s="364">
        <f>INDEX('Combined Data'!$B$27:$AJ$27,1,MATCH('BPEiC-CO2'!$A9,'Combined Data'!$B$2:$AJ$2))*10^12</f>
        <v>12298485174001.48</v>
      </c>
      <c r="F9" s="364">
        <v>0</v>
      </c>
      <c r="G9" s="364">
        <f>INDEX('Combined Data'!$B$45:$AJ$45,1,MATCH('BPEiC-CO2'!$A9,'Combined Data'!$B$2:$AJ$2))*10^12</f>
        <v>5783491416699.5293</v>
      </c>
      <c r="H9" s="364">
        <f>INDEX('Combined Data'!$B$58:$AJ$58,1,MATCH('BPEiC-CO2'!$A9,'Combined Data'!$B$2:$AJ$2))*10^12</f>
        <v>205821564951848.97</v>
      </c>
      <c r="I9" s="364">
        <f>INDEX('Combined Data'!$B$73:$AJ$73,1,MATCH('BPEiC-CO2'!$A9,'Combined Data'!$B$2:$AJ$2))*10^12</f>
        <v>4082790053334.3716</v>
      </c>
    </row>
    <row r="10" spans="1:9" x14ac:dyDescent="0.25">
      <c r="A10" s="108">
        <v>2024</v>
      </c>
      <c r="B10" s="364">
        <v>0</v>
      </c>
      <c r="C10" s="364">
        <v>0</v>
      </c>
      <c r="D10" s="364">
        <v>0</v>
      </c>
      <c r="E10" s="364">
        <f>INDEX('Combined Data'!$B$27:$AJ$27,1,MATCH('BPEiC-CO2'!$A10,'Combined Data'!$B$2:$AJ$2))*10^12</f>
        <v>12156592655339.354</v>
      </c>
      <c r="F10" s="364">
        <v>0</v>
      </c>
      <c r="G10" s="364">
        <f>INDEX('Combined Data'!$B$45:$AJ$45,1,MATCH('BPEiC-CO2'!$A10,'Combined Data'!$B$2:$AJ$2))*10^12</f>
        <v>5823219177064.7813</v>
      </c>
      <c r="H10" s="364">
        <f>INDEX('Combined Data'!$B$58:$AJ$58,1,MATCH('BPEiC-CO2'!$A10,'Combined Data'!$B$2:$AJ$2))*10^12</f>
        <v>205819630801149.91</v>
      </c>
      <c r="I10" s="364">
        <f>INDEX('Combined Data'!$B$73:$AJ$73,1,MATCH('BPEiC-CO2'!$A10,'Combined Data'!$B$2:$AJ$2))*10^12</f>
        <v>4099442056001.0898</v>
      </c>
    </row>
    <row r="11" spans="1:9" x14ac:dyDescent="0.25">
      <c r="A11" s="108">
        <v>2025</v>
      </c>
      <c r="B11" s="364">
        <v>0</v>
      </c>
      <c r="C11" s="364">
        <v>0</v>
      </c>
      <c r="D11" s="364">
        <v>0</v>
      </c>
      <c r="E11" s="364">
        <f>INDEX('Combined Data'!$B$27:$AJ$27,1,MATCH('BPEiC-CO2'!$A11,'Combined Data'!$B$2:$AJ$2))*10^12</f>
        <v>12018074213440.709</v>
      </c>
      <c r="F11" s="364">
        <v>0</v>
      </c>
      <c r="G11" s="364">
        <f>INDEX('Combined Data'!$B$45:$AJ$45,1,MATCH('BPEiC-CO2'!$A11,'Combined Data'!$B$2:$AJ$2))*10^12</f>
        <v>5862738611434.5508</v>
      </c>
      <c r="H11" s="364">
        <f>INDEX('Combined Data'!$B$58:$AJ$58,1,MATCH('BPEiC-CO2'!$A11,'Combined Data'!$B$2:$AJ$2))*10^12</f>
        <v>205738792521671.5</v>
      </c>
      <c r="I11" s="364">
        <f>INDEX('Combined Data'!$B$73:$AJ$73,1,MATCH('BPEiC-CO2'!$A11,'Combined Data'!$B$2:$AJ$2))*10^12</f>
        <v>4116926658801.1445</v>
      </c>
    </row>
    <row r="12" spans="1:9" x14ac:dyDescent="0.25">
      <c r="A12" s="108">
        <v>2026</v>
      </c>
      <c r="B12" s="364">
        <v>0</v>
      </c>
      <c r="C12" s="364">
        <v>0</v>
      </c>
      <c r="D12" s="364">
        <v>0</v>
      </c>
      <c r="E12" s="364">
        <f>INDEX('Combined Data'!$B$27:$AJ$27,1,MATCH('BPEiC-CO2'!$A12,'Combined Data'!$B$2:$AJ$2))*10^12</f>
        <v>11882826157071.9</v>
      </c>
      <c r="F12" s="364">
        <v>0</v>
      </c>
      <c r="G12" s="364">
        <f>INDEX('Combined Data'!$B$45:$AJ$45,1,MATCH('BPEiC-CO2'!$A12,'Combined Data'!$B$2:$AJ$2))*10^12</f>
        <v>5902035884457.7998</v>
      </c>
      <c r="H12" s="364">
        <f>INDEX('Combined Data'!$B$58:$AJ$58,1,MATCH('BPEiC-CO2'!$A12,'Combined Data'!$B$2:$AJ$2))*10^12</f>
        <v>205770482650713.84</v>
      </c>
      <c r="I12" s="364">
        <f>INDEX('Combined Data'!$B$73:$AJ$73,1,MATCH('BPEiC-CO2'!$A12,'Combined Data'!$B$2:$AJ$2))*10^12</f>
        <v>4135285491741.2021</v>
      </c>
    </row>
    <row r="13" spans="1:9" x14ac:dyDescent="0.25">
      <c r="A13" s="108">
        <v>2027</v>
      </c>
      <c r="B13" s="364">
        <v>0</v>
      </c>
      <c r="C13" s="364">
        <v>0</v>
      </c>
      <c r="D13" s="364">
        <v>0</v>
      </c>
      <c r="E13" s="364">
        <f>INDEX('Combined Data'!$B$27:$AJ$27,1,MATCH('BPEiC-CO2'!$A13,'Combined Data'!$B$2:$AJ$2))*10^12</f>
        <v>11750748135326.961</v>
      </c>
      <c r="F13" s="364">
        <v>0</v>
      </c>
      <c r="G13" s="364">
        <f>INDEX('Combined Data'!$B$45:$AJ$45,1,MATCH('BPEiC-CO2'!$A13,'Combined Data'!$B$2:$AJ$2))*10^12</f>
        <v>5940985488466.9414</v>
      </c>
      <c r="H13" s="364">
        <f>INDEX('Combined Data'!$B$58:$AJ$58,1,MATCH('BPEiC-CO2'!$A13,'Combined Data'!$B$2:$AJ$2))*10^12</f>
        <v>205982692595566.72</v>
      </c>
      <c r="I13" s="364">
        <f>INDEX('Combined Data'!$B$73:$AJ$73,1,MATCH('BPEiC-CO2'!$A13,'Combined Data'!$B$2:$AJ$2))*10^12</f>
        <v>4154562266328.2622</v>
      </c>
    </row>
    <row r="14" spans="1:9" x14ac:dyDescent="0.25">
      <c r="A14" s="108">
        <v>2028</v>
      </c>
      <c r="B14" s="364">
        <v>0</v>
      </c>
      <c r="C14" s="364">
        <v>0</v>
      </c>
      <c r="D14" s="364">
        <v>0</v>
      </c>
      <c r="E14" s="364">
        <f>INDEX('Combined Data'!$B$27:$AJ$27,1,MATCH('BPEiC-CO2'!$A14,'Combined Data'!$B$2:$AJ$2))*10^12</f>
        <v>11621743029242.342</v>
      </c>
      <c r="F14" s="364">
        <v>0</v>
      </c>
      <c r="G14" s="364">
        <f>INDEX('Combined Data'!$B$45:$AJ$45,1,MATCH('BPEiC-CO2'!$A14,'Combined Data'!$B$2:$AJ$2))*10^12</f>
        <v>5979552496656.0693</v>
      </c>
      <c r="H14" s="364">
        <f>INDEX('Combined Data'!$B$58:$AJ$58,1,MATCH('BPEiC-CO2'!$A14,'Combined Data'!$B$2:$AJ$2))*10^12</f>
        <v>206018738021737.66</v>
      </c>
      <c r="I14" s="364">
        <f>INDEX('Combined Data'!$B$73:$AJ$73,1,MATCH('BPEiC-CO2'!$A14,'Combined Data'!$B$2:$AJ$2))*10^12</f>
        <v>4174802879644.6748</v>
      </c>
    </row>
    <row r="15" spans="1:9" x14ac:dyDescent="0.25">
      <c r="A15" s="108">
        <v>2029</v>
      </c>
      <c r="B15" s="364">
        <v>0</v>
      </c>
      <c r="C15" s="364">
        <v>0</v>
      </c>
      <c r="D15" s="364">
        <v>0</v>
      </c>
      <c r="E15" s="364">
        <f>INDEX('Combined Data'!$B$27:$AJ$27,1,MATCH('BPEiC-CO2'!$A15,'Combined Data'!$B$2:$AJ$2))*10^12</f>
        <v>11495716846932.229</v>
      </c>
      <c r="F15" s="364">
        <v>0</v>
      </c>
      <c r="G15" s="364">
        <f>INDEX('Combined Data'!$B$45:$AJ$45,1,MATCH('BPEiC-CO2'!$A15,'Combined Data'!$B$2:$AJ$2))*10^12</f>
        <v>6017680708092.3252</v>
      </c>
      <c r="H15" s="364">
        <f>INDEX('Combined Data'!$B$58:$AJ$58,1,MATCH('BPEiC-CO2'!$A15,'Combined Data'!$B$2:$AJ$2))*10^12</f>
        <v>206046476221903.06</v>
      </c>
      <c r="I15" s="364">
        <f>INDEX('Combined Data'!$B$73:$AJ$73,1,MATCH('BPEiC-CO2'!$A15,'Combined Data'!$B$2:$AJ$2))*10^12</f>
        <v>4196055523626.9092</v>
      </c>
    </row>
    <row r="16" spans="1:9" x14ac:dyDescent="0.25">
      <c r="A16" s="108">
        <v>2030</v>
      </c>
      <c r="B16" s="364">
        <v>0</v>
      </c>
      <c r="C16" s="364">
        <v>0</v>
      </c>
      <c r="D16" s="364">
        <v>0</v>
      </c>
      <c r="E16" s="364">
        <f>INDEX('Combined Data'!$B$27:$AJ$27,1,MATCH('BPEiC-CO2'!$A16,'Combined Data'!$B$2:$AJ$2))*10^12</f>
        <v>11372578622130.088</v>
      </c>
      <c r="F16" s="364">
        <v>0</v>
      </c>
      <c r="G16" s="364">
        <f>INDEX('Combined Data'!$B$45:$AJ$45,1,MATCH('BPEiC-CO2'!$A16,'Combined Data'!$B$2:$AJ$2))*10^12</f>
        <v>6055334937331.8525</v>
      </c>
      <c r="H16" s="364">
        <f>INDEX('Combined Data'!$B$58:$AJ$58,1,MATCH('BPEiC-CO2'!$A16,'Combined Data'!$B$2:$AJ$2))*10^12</f>
        <v>206075443994275.81</v>
      </c>
      <c r="I16" s="364">
        <f>INDEX('Combined Data'!$B$73:$AJ$73,1,MATCH('BPEiC-CO2'!$A16,'Combined Data'!$B$2:$AJ$2))*10^12</f>
        <v>4218370799808.2544</v>
      </c>
    </row>
    <row r="17" spans="1:9" x14ac:dyDescent="0.25">
      <c r="A17" s="108">
        <v>2031</v>
      </c>
      <c r="B17" s="364">
        <v>0</v>
      </c>
      <c r="C17" s="364">
        <v>0</v>
      </c>
      <c r="D17" s="364">
        <v>0</v>
      </c>
      <c r="E17" s="364">
        <f>INDEX('Combined Data'!$B$27:$AJ$27,1,MATCH('BPEiC-CO2'!$A17,'Combined Data'!$B$2:$AJ$2))*10^12</f>
        <v>11252240316025.814</v>
      </c>
      <c r="F17" s="364">
        <v>0</v>
      </c>
      <c r="G17" s="364">
        <f>INDEX('Combined Data'!$B$45:$AJ$45,1,MATCH('BPEiC-CO2'!$A17,'Combined Data'!$B$2:$AJ$2))*10^12</f>
        <v>6092488839154.1025</v>
      </c>
      <c r="H17" s="364">
        <f>INDEX('Combined Data'!$B$58:$AJ$58,1,MATCH('BPEiC-CO2'!$A17,'Combined Data'!$B$2:$AJ$2))*10^12</f>
        <v>206105650653645.28</v>
      </c>
      <c r="I17" s="364">
        <f>INDEX('Combined Data'!$B$73:$AJ$73,1,MATCH('BPEiC-CO2'!$A17,'Combined Data'!$B$2:$AJ$2))*10^12</f>
        <v>4241801839798.667</v>
      </c>
    </row>
    <row r="18" spans="1:9" x14ac:dyDescent="0.25">
      <c r="A18" s="108">
        <v>2032</v>
      </c>
      <c r="B18" s="364">
        <v>0</v>
      </c>
      <c r="C18" s="364">
        <v>0</v>
      </c>
      <c r="D18" s="364">
        <v>0</v>
      </c>
      <c r="E18" s="364">
        <f>INDEX('Combined Data'!$B$27:$AJ$27,1,MATCH('BPEiC-CO2'!$A18,'Combined Data'!$B$2:$AJ$2))*10^12</f>
        <v>11134616722291.297</v>
      </c>
      <c r="F18" s="364">
        <v>0</v>
      </c>
      <c r="G18" s="364">
        <f>INDEX('Combined Data'!$B$45:$AJ$45,1,MATCH('BPEiC-CO2'!$A18,'Combined Data'!$B$2:$AJ$2))*10^12</f>
        <v>6129127032675.1387</v>
      </c>
      <c r="H18" s="364">
        <f>INDEX('Combined Data'!$B$58:$AJ$58,1,MATCH('BPEiC-CO2'!$A18,'Combined Data'!$B$2:$AJ$2))*10^12</f>
        <v>206137105625110.69</v>
      </c>
      <c r="I18" s="364">
        <f>INDEX('Combined Data'!$B$73:$AJ$73,1,MATCH('BPEiC-CO2'!$A18,'Combined Data'!$B$2:$AJ$2))*10^12</f>
        <v>4266404431788.6011</v>
      </c>
    </row>
    <row r="19" spans="1:9" x14ac:dyDescent="0.25">
      <c r="A19" s="108">
        <v>2033</v>
      </c>
      <c r="B19" s="364">
        <v>0</v>
      </c>
      <c r="C19" s="364">
        <v>0</v>
      </c>
      <c r="D19" s="364">
        <v>0</v>
      </c>
      <c r="E19" s="364">
        <f>INDEX('Combined Data'!$B$27:$AJ$27,1,MATCH('BPEiC-CO2'!$A19,'Combined Data'!$B$2:$AJ$2))*10^12</f>
        <v>11019625375191.02</v>
      </c>
      <c r="F19" s="364">
        <v>0</v>
      </c>
      <c r="G19" s="364">
        <f>INDEX('Combined Data'!$B$45:$AJ$45,1,MATCH('BPEiC-CO2'!$A19,'Combined Data'!$B$2:$AJ$2))*10^12</f>
        <v>6165243642298.9316</v>
      </c>
      <c r="H19" s="364">
        <f>INDEX('Combined Data'!$B$58:$AJ$58,1,MATCH('BPEiC-CO2'!$A19,'Combined Data'!$B$2:$AJ$2))*10^12</f>
        <v>206169818444893.41</v>
      </c>
      <c r="I19" s="364">
        <f>INDEX('Combined Data'!$B$73:$AJ$73,1,MATCH('BPEiC-CO2'!$A19,'Combined Data'!$B$2:$AJ$2))*10^12</f>
        <v>4292237153378.0303</v>
      </c>
    </row>
    <row r="20" spans="1:9" x14ac:dyDescent="0.25">
      <c r="A20" s="108">
        <v>2034</v>
      </c>
      <c r="B20" s="364">
        <v>0</v>
      </c>
      <c r="C20" s="364">
        <v>0</v>
      </c>
      <c r="D20" s="364">
        <v>0</v>
      </c>
      <c r="E20" s="364">
        <f>INDEX('Combined Data'!$B$27:$AJ$27,1,MATCH('BPEiC-CO2'!$A20,'Combined Data'!$B$2:$AJ$2))*10^12</f>
        <v>10907186460677.238</v>
      </c>
      <c r="F20" s="364">
        <v>0</v>
      </c>
      <c r="G20" s="364">
        <f>INDEX('Combined Data'!$B$45:$AJ$45,1,MATCH('BPEiC-CO2'!$A20,'Combined Data'!$B$2:$AJ$2))*10^12</f>
        <v>6200839002677.6533</v>
      </c>
      <c r="H20" s="364">
        <f>INDEX('Combined Data'!$B$58:$AJ$58,1,MATCH('BPEiC-CO2'!$A20,'Combined Data'!$B$2:$AJ$2))*10^12</f>
        <v>206203798761159.72</v>
      </c>
      <c r="I20" s="364">
        <f>INDEX('Combined Data'!$B$73:$AJ$73,1,MATCH('BPEiC-CO2'!$A20,'Combined Data'!$B$2:$AJ$2))*10^12</f>
        <v>4319361511046.9316</v>
      </c>
    </row>
    <row r="21" spans="1:9" x14ac:dyDescent="0.25">
      <c r="A21" s="108">
        <v>2035</v>
      </c>
      <c r="B21" s="364">
        <v>0</v>
      </c>
      <c r="C21" s="364">
        <v>0</v>
      </c>
      <c r="D21" s="364">
        <v>0</v>
      </c>
      <c r="E21" s="364">
        <f>INDEX('Combined Data'!$B$27:$AJ$27,1,MATCH('BPEiC-CO2'!$A21,'Combined Data'!$B$2:$AJ$2))*10^12</f>
        <v>10797222730372.977</v>
      </c>
      <c r="F21" s="364">
        <v>0</v>
      </c>
      <c r="G21" s="364">
        <f>INDEX('Combined Data'!$B$45:$AJ$45,1,MATCH('BPEiC-CO2'!$A21,'Combined Data'!$B$2:$AJ$2))*10^12</f>
        <v>6235932721618.8359</v>
      </c>
      <c r="H21" s="364">
        <f>INDEX('Combined Data'!$B$58:$AJ$58,1,MATCH('BPEiC-CO2'!$A21,'Combined Data'!$B$2:$AJ$2))*10^12</f>
        <v>206239056334855.78</v>
      </c>
      <c r="I21" s="364">
        <f>INDEX('Combined Data'!$B$73:$AJ$73,1,MATCH('BPEiC-CO2'!$A21,'Combined Data'!$B$2:$AJ$2))*10^12</f>
        <v>4347842086599.2788</v>
      </c>
    </row>
    <row r="22" spans="1:9" x14ac:dyDescent="0.25">
      <c r="A22" s="108">
        <v>2036</v>
      </c>
      <c r="B22" s="364">
        <v>0</v>
      </c>
      <c r="C22" s="364">
        <v>0</v>
      </c>
      <c r="D22" s="364">
        <v>0</v>
      </c>
      <c r="E22" s="364">
        <f>INDEX('Combined Data'!$B$27:$AJ$27,1,MATCH('BPEiC-CO2'!$A22,'Combined Data'!$B$2:$AJ$2))*10^12</f>
        <v>10689659418348.871</v>
      </c>
      <c r="F22" s="364">
        <v>0</v>
      </c>
      <c r="G22" s="364">
        <f>INDEX('Combined Data'!$B$45:$AJ$45,1,MATCH('BPEiC-CO2'!$A22,'Combined Data'!$B$2:$AJ$2))*10^12</f>
        <v>6270588083930.916</v>
      </c>
      <c r="H22" s="364">
        <f>INDEX('Combined Data'!$B$58:$AJ$58,1,MATCH('BPEiC-CO2'!$A22,'Combined Data'!$B$2:$AJ$2))*10^12</f>
        <v>206275601040553.28</v>
      </c>
      <c r="I22" s="364">
        <f>INDEX('Combined Data'!$B$73:$AJ$73,1,MATCH('BPEiC-CO2'!$A22,'Combined Data'!$B$2:$AJ$2))*10^12</f>
        <v>4377746690929.2427</v>
      </c>
    </row>
    <row r="23" spans="1:9" x14ac:dyDescent="0.25">
      <c r="A23" s="108">
        <v>2037</v>
      </c>
      <c r="B23" s="364">
        <v>0</v>
      </c>
      <c r="C23" s="364">
        <v>0</v>
      </c>
      <c r="D23" s="364">
        <v>0</v>
      </c>
      <c r="E23" s="364">
        <f>INDEX('Combined Data'!$B$27:$AJ$27,1,MATCH('BPEiC-CO2'!$A23,'Combined Data'!$B$2:$AJ$2))*10^12</f>
        <v>10584424160603.232</v>
      </c>
      <c r="F23" s="364">
        <v>0</v>
      </c>
      <c r="G23" s="364">
        <f>INDEX('Combined Data'!$B$45:$AJ$45,1,MATCH('BPEiC-CO2'!$A23,'Combined Data'!$B$2:$AJ$2))*10^12</f>
        <v>6304819508013.6992</v>
      </c>
      <c r="H23" s="364">
        <f>INDEX('Combined Data'!$B$58:$AJ$58,1,MATCH('BPEiC-CO2'!$A23,'Combined Data'!$B$2:$AJ$2))*10^12</f>
        <v>206313442867306.63</v>
      </c>
      <c r="I23" s="364">
        <f>INDEX('Combined Data'!$B$73:$AJ$73,1,MATCH('BPEiC-CO2'!$A23,'Combined Data'!$B$2:$AJ$2))*10^12</f>
        <v>4409146525475.7051</v>
      </c>
    </row>
    <row r="24" spans="1:9" x14ac:dyDescent="0.25">
      <c r="A24" s="108">
        <v>2038</v>
      </c>
      <c r="B24" s="364">
        <v>0</v>
      </c>
      <c r="C24" s="364">
        <v>0</v>
      </c>
      <c r="D24" s="364">
        <v>0</v>
      </c>
      <c r="E24" s="364">
        <f>INDEX('Combined Data'!$B$27:$AJ$27,1,MATCH('BPEiC-CO2'!$A24,'Combined Data'!$B$2:$AJ$2))*10^12</f>
        <v>10481446917157.385</v>
      </c>
      <c r="F24" s="364">
        <v>0</v>
      </c>
      <c r="G24" s="364">
        <f>INDEX('Combined Data'!$B$45:$AJ$45,1,MATCH('BPEiC-CO2'!$A24,'Combined Data'!$B$2:$AJ$2))*10^12</f>
        <v>6338650791659.3604</v>
      </c>
      <c r="H24" s="364">
        <f>INDEX('Combined Data'!$B$58:$AJ$58,1,MATCH('BPEiC-CO2'!$A24,'Combined Data'!$B$2:$AJ$2))*10^12</f>
        <v>206352591919521.44</v>
      </c>
      <c r="I24" s="364">
        <f>INDEX('Combined Data'!$B$73:$AJ$73,1,MATCH('BPEiC-CO2'!$A24,'Combined Data'!$B$2:$AJ$2))*10^12</f>
        <v>4442116351749.4902</v>
      </c>
    </row>
    <row r="25" spans="1:9" x14ac:dyDescent="0.25">
      <c r="A25" s="108">
        <v>2039</v>
      </c>
      <c r="B25" s="364">
        <v>0</v>
      </c>
      <c r="C25" s="364">
        <v>0</v>
      </c>
      <c r="D25" s="364">
        <v>0</v>
      </c>
      <c r="E25" s="364">
        <f>INDEX('Combined Data'!$B$27:$AJ$27,1,MATCH('BPEiC-CO2'!$A25,'Combined Data'!$B$2:$AJ$2))*10^12</f>
        <v>10380659896681.381</v>
      </c>
      <c r="F25" s="364">
        <v>0</v>
      </c>
      <c r="G25" s="364">
        <f>INDEX('Combined Data'!$B$45:$AJ$45,1,MATCH('BPEiC-CO2'!$A25,'Combined Data'!$B$2:$AJ$2))*10^12</f>
        <v>6372113555057.1455</v>
      </c>
      <c r="H25" s="364">
        <f>INDEX('Combined Data'!$B$58:$AJ$58,1,MATCH('BPEiC-CO2'!$A25,'Combined Data'!$B$2:$AJ$2))*10^12</f>
        <v>206393058417835.22</v>
      </c>
      <c r="I25" s="364">
        <f>INDEX('Combined Data'!$B$73:$AJ$73,1,MATCH('BPEiC-CO2'!$A25,'Combined Data'!$B$2:$AJ$2))*10^12</f>
        <v>4476734669336.9648</v>
      </c>
    </row>
    <row r="26" spans="1:9" x14ac:dyDescent="0.25">
      <c r="A26" s="108">
        <v>2040</v>
      </c>
      <c r="B26" s="364">
        <v>0</v>
      </c>
      <c r="C26" s="364">
        <v>0</v>
      </c>
      <c r="D26" s="364">
        <v>0</v>
      </c>
      <c r="E26" s="364">
        <f>INDEX('Combined Data'!$B$27:$AJ$27,1,MATCH('BPEiC-CO2'!$A26,'Combined Data'!$B$2:$AJ$2))*10^12</f>
        <v>10281997483567.922</v>
      </c>
      <c r="F26" s="364">
        <v>0</v>
      </c>
      <c r="G26" s="364">
        <f>INDEX('Combined Data'!$B$45:$AJ$45,1,MATCH('BPEiC-CO2'!$A26,'Combined Data'!$B$2:$AJ$2))*10^12</f>
        <v>6405251124263.6396</v>
      </c>
      <c r="H26" s="364">
        <f>INDEX('Combined Data'!$B$58:$AJ$58,1,MATCH('BPEiC-CO2'!$A26,'Combined Data'!$B$2:$AJ$2))*10^12</f>
        <v>206434852700008.81</v>
      </c>
      <c r="I26" s="364">
        <f>INDEX('Combined Data'!$B$73:$AJ$73,1,MATCH('BPEiC-CO2'!$A26,'Combined Data'!$B$2:$AJ$2))*10^12</f>
        <v>4513083902803.8135</v>
      </c>
    </row>
    <row r="27" spans="1:9" x14ac:dyDescent="0.25">
      <c r="A27" s="108">
        <v>2041</v>
      </c>
      <c r="B27" s="364">
        <v>0</v>
      </c>
      <c r="C27" s="364">
        <v>0</v>
      </c>
      <c r="D27" s="364">
        <v>0</v>
      </c>
      <c r="E27" s="364">
        <f>INDEX('Combined Data'!$B$27:$AJ$27,1,MATCH('BPEiC-CO2'!$A27,'Combined Data'!$B$2:$AJ$2))*10^12</f>
        <v>10185396167374.842</v>
      </c>
      <c r="F27" s="364">
        <v>0</v>
      </c>
      <c r="G27" s="364">
        <f>INDEX('Combined Data'!$B$45:$AJ$45,1,MATCH('BPEiC-CO2'!$A27,'Combined Data'!$B$2:$AJ$2))*10^12</f>
        <v>6438107179563.8193</v>
      </c>
      <c r="H27" s="364">
        <f>INDEX('Combined Data'!$B$58:$AJ$58,1,MATCH('BPEiC-CO2'!$A27,'Combined Data'!$B$2:$AJ$2))*10^12</f>
        <v>206477985221830.25</v>
      </c>
      <c r="I27" s="364">
        <f>INDEX('Combined Data'!$B$73:$AJ$73,1,MATCH('BPEiC-CO2'!$A27,'Combined Data'!$B$2:$AJ$2))*10^12</f>
        <v>4551250597944.0029</v>
      </c>
    </row>
    <row r="28" spans="1:9" x14ac:dyDescent="0.25">
      <c r="A28" s="108">
        <v>2042</v>
      </c>
      <c r="B28" s="364">
        <v>0</v>
      </c>
      <c r="C28" s="364">
        <v>0</v>
      </c>
      <c r="D28" s="364">
        <v>0</v>
      </c>
      <c r="E28" s="364">
        <f>INDEX('Combined Data'!$B$27:$AJ$27,1,MATCH('BPEiC-CO2'!$A28,'Combined Data'!$B$2:$AJ$2))*10^12</f>
        <v>10090794474559.326</v>
      </c>
      <c r="F28" s="364">
        <v>0</v>
      </c>
      <c r="G28" s="364">
        <f>INDEX('Combined Data'!$B$45:$AJ$45,1,MATCH('BPEiC-CO2'!$A28,'Combined Data'!$B$2:$AJ$2))*10^12</f>
        <v>6470732628587.0508</v>
      </c>
      <c r="H28" s="364">
        <f>INDEX('Combined Data'!$B$58:$AJ$58,1,MATCH('BPEiC-CO2'!$A28,'Combined Data'!$B$2:$AJ$2))*10^12</f>
        <v>206522466558030.03</v>
      </c>
      <c r="I28" s="364">
        <f>INDEX('Combined Data'!$B$73:$AJ$73,1,MATCH('BPEiC-CO2'!$A28,'Combined Data'!$B$2:$AJ$2))*10^12</f>
        <v>4591325627841.2041</v>
      </c>
    </row>
    <row r="29" spans="1:9" x14ac:dyDescent="0.25">
      <c r="A29" s="108">
        <v>2043</v>
      </c>
      <c r="B29" s="364">
        <v>0</v>
      </c>
      <c r="C29" s="364">
        <v>0</v>
      </c>
      <c r="D29" s="364">
        <v>0</v>
      </c>
      <c r="E29" s="364">
        <f>INDEX('Combined Data'!$B$27:$AJ$27,1,MATCH('BPEiC-CO2'!$A29,'Combined Data'!$B$2:$AJ$2))*10^12</f>
        <v>9998132902429.3125</v>
      </c>
      <c r="F29" s="364">
        <v>0</v>
      </c>
      <c r="G29" s="364">
        <f>INDEX('Combined Data'!$B$45:$AJ$45,1,MATCH('BPEiC-CO2'!$A29,'Combined Data'!$B$2:$AJ$2))*10^12</f>
        <v>6503176675504.0459</v>
      </c>
      <c r="H29" s="364">
        <f>INDEX('Combined Data'!$B$58:$AJ$58,1,MATCH('BPEiC-CO2'!$A29,'Combined Data'!$B$2:$AJ$2))*10^12</f>
        <v>206568307403208.19</v>
      </c>
      <c r="I29" s="364">
        <f>INDEX('Combined Data'!$B$73:$AJ$73,1,MATCH('BPEiC-CO2'!$A29,'Combined Data'!$B$2:$AJ$2))*10^12</f>
        <v>4633404409233.2637</v>
      </c>
    </row>
    <row r="30" spans="1:9" x14ac:dyDescent="0.25">
      <c r="A30" s="108">
        <v>2044</v>
      </c>
      <c r="B30" s="364">
        <v>0</v>
      </c>
      <c r="C30" s="364">
        <v>0</v>
      </c>
      <c r="D30" s="364">
        <v>0</v>
      </c>
      <c r="E30" s="364">
        <f>INDEX('Combined Data'!$B$27:$AJ$27,1,MATCH('BPEiC-CO2'!$A30,'Combined Data'!$B$2:$AJ$2))*10^12</f>
        <v>9907353855240.1563</v>
      </c>
      <c r="F30" s="364">
        <v>0</v>
      </c>
      <c r="G30" s="364">
        <f>INDEX('Combined Data'!$B$45:$AJ$45,1,MATCH('BPEiC-CO2'!$A30,'Combined Data'!$B$2:$AJ$2))*10^12</f>
        <v>6535497912282.8818</v>
      </c>
      <c r="H30" s="364">
        <f>INDEX('Combined Data'!$B$58:$AJ$58,1,MATCH('BPEiC-CO2'!$A30,'Combined Data'!$B$2:$AJ$2))*10^12</f>
        <v>206615518572773.56</v>
      </c>
      <c r="I30" s="364">
        <f>INDEX('Combined Data'!$B$73:$AJ$73,1,MATCH('BPEiC-CO2'!$A30,'Combined Data'!$B$2:$AJ$2))*10^12</f>
        <v>4677587129694.9277</v>
      </c>
    </row>
    <row r="31" spans="1:9" x14ac:dyDescent="0.25">
      <c r="A31" s="108">
        <v>2045</v>
      </c>
      <c r="B31" s="364">
        <v>0</v>
      </c>
      <c r="C31" s="364">
        <v>0</v>
      </c>
      <c r="D31" s="364">
        <v>0</v>
      </c>
      <c r="E31" s="364">
        <f>INDEX('Combined Data'!$B$27:$AJ$27,1,MATCH('BPEiC-CO2'!$A31,'Combined Data'!$B$2:$AJ$2))*10^12</f>
        <v>9818401582366.7168</v>
      </c>
      <c r="F31" s="364">
        <v>0</v>
      </c>
      <c r="G31" s="364">
        <f>INDEX('Combined Data'!$B$45:$AJ$45,1,MATCH('BPEiC-CO2'!$A31,'Combined Data'!$B$2:$AJ$2))*10^12</f>
        <v>6567754994547.8379</v>
      </c>
      <c r="H31" s="364">
        <f>INDEX('Combined Data'!$B$58:$AJ$58,1,MATCH('BPEiC-CO2'!$A31,'Combined Data'!$B$2:$AJ$2))*10^12</f>
        <v>206664111003895.03</v>
      </c>
      <c r="I31" s="364">
        <f>INDEX('Combined Data'!$B$73:$AJ$73,1,MATCH('BPEiC-CO2'!$A31,'Combined Data'!$B$2:$AJ$2))*10^12</f>
        <v>4723978986179.6738</v>
      </c>
    </row>
    <row r="32" spans="1:9" x14ac:dyDescent="0.25">
      <c r="A32" s="108">
        <v>2046</v>
      </c>
      <c r="B32" s="364">
        <v>0</v>
      </c>
      <c r="C32" s="364">
        <v>0</v>
      </c>
      <c r="D32" s="364">
        <v>0</v>
      </c>
      <c r="E32" s="364">
        <f>INDEX('Combined Data'!$B$27:$AJ$27,1,MATCH('BPEiC-CO2'!$A32,'Combined Data'!$B$2:$AJ$2))*10^12</f>
        <v>9731222118483.5977</v>
      </c>
      <c r="F32" s="364">
        <v>0</v>
      </c>
      <c r="G32" s="364">
        <f>INDEX('Combined Data'!$B$45:$AJ$45,1,MATCH('BPEiC-CO2'!$A32,'Combined Data'!$B$2:$AJ$2))*10^12</f>
        <v>6600022909330.2578</v>
      </c>
      <c r="H32" s="364">
        <f>INDEX('Combined Data'!$B$58:$AJ$58,1,MATCH('BPEiC-CO2'!$A32,'Combined Data'!$B$2:$AJ$2))*10^12</f>
        <v>206714095756464.38</v>
      </c>
      <c r="I32" s="364">
        <f>INDEX('Combined Data'!$B$73:$AJ$73,1,MATCH('BPEiC-CO2'!$A32,'Combined Data'!$B$2:$AJ$2))*10^12</f>
        <v>4772690435488.6572</v>
      </c>
    </row>
    <row r="33" spans="1:9" x14ac:dyDescent="0.25">
      <c r="A33" s="108">
        <v>2047</v>
      </c>
      <c r="B33" s="364">
        <v>0</v>
      </c>
      <c r="C33" s="364">
        <v>0</v>
      </c>
      <c r="D33" s="364">
        <v>0</v>
      </c>
      <c r="E33" s="364">
        <f>INDEX('Combined Data'!$B$27:$AJ$27,1,MATCH('BPEiC-CO2'!$A33,'Combined Data'!$B$2:$AJ$2))*10^12</f>
        <v>9645763225688.1836</v>
      </c>
      <c r="F33" s="364">
        <v>0</v>
      </c>
      <c r="G33" s="364">
        <f>INDEX('Combined Data'!$B$45:$AJ$45,1,MATCH('BPEiC-CO2'!$A33,'Combined Data'!$B$2:$AJ$2))*10^12</f>
        <v>6632339618512.4658</v>
      </c>
      <c r="H33" s="364">
        <f>INDEX('Combined Data'!$B$58:$AJ$58,1,MATCH('BPEiC-CO2'!$A33,'Combined Data'!$B$2:$AJ$2))*10^12</f>
        <v>206765484014072.13</v>
      </c>
      <c r="I33" s="364">
        <f>INDEX('Combined Data'!$B$73:$AJ$73,1,MATCH('BPEiC-CO2'!$A33,'Combined Data'!$B$2:$AJ$2))*10^12</f>
        <v>4823837457263.0908</v>
      </c>
    </row>
    <row r="34" spans="1:9" x14ac:dyDescent="0.25">
      <c r="A34" s="108">
        <v>2048</v>
      </c>
      <c r="B34" s="364">
        <v>0</v>
      </c>
      <c r="C34" s="364">
        <v>0</v>
      </c>
      <c r="D34" s="364">
        <v>0</v>
      </c>
      <c r="E34" s="364">
        <f>INDEX('Combined Data'!$B$27:$AJ$27,1,MATCH('BPEiC-CO2'!$A34,'Combined Data'!$B$2:$AJ$2))*10^12</f>
        <v>9561974337503.4492</v>
      </c>
      <c r="F34" s="364">
        <v>0</v>
      </c>
      <c r="G34" s="364">
        <f>INDEX('Combined Data'!$B$45:$AJ$45,1,MATCH('BPEiC-CO2'!$A34,'Combined Data'!$B$2:$AJ$2))*10^12</f>
        <v>6664698730434.6348</v>
      </c>
      <c r="H34" s="364">
        <f>INDEX('Combined Data'!$B$58:$AJ$58,1,MATCH('BPEiC-CO2'!$A34,'Combined Data'!$B$2:$AJ$2))*10^12</f>
        <v>206818287084995.06</v>
      </c>
      <c r="I34" s="364">
        <f>INDEX('Combined Data'!$B$73:$AJ$73,1,MATCH('BPEiC-CO2'!$A34,'Combined Data'!$B$2:$AJ$2))*10^12</f>
        <v>4877541830126.2451</v>
      </c>
    </row>
    <row r="35" spans="1:9" x14ac:dyDescent="0.25">
      <c r="A35" s="108">
        <v>2049</v>
      </c>
      <c r="B35" s="364">
        <v>0</v>
      </c>
      <c r="C35" s="364">
        <v>0</v>
      </c>
      <c r="D35" s="364">
        <v>0</v>
      </c>
      <c r="E35" s="364">
        <f>INDEX('Combined Data'!$B$27:$AJ$27,1,MATCH('BPEiC-CO2'!$A35,'Combined Data'!$B$2:$AJ$2))*10^12</f>
        <v>9479806504699.377</v>
      </c>
      <c r="F35" s="364">
        <v>0</v>
      </c>
      <c r="G35" s="364">
        <f>INDEX('Combined Data'!$B$45:$AJ$45,1,MATCH('BPEiC-CO2'!$A35,'Combined Data'!$B$2:$AJ$2))*10^12</f>
        <v>6697149763170.2246</v>
      </c>
      <c r="H35" s="364">
        <f>INDEX('Combined Data'!$B$58:$AJ$58,1,MATCH('BPEiC-CO2'!$A35,'Combined Data'!$B$2:$AJ$2))*10^12</f>
        <v>206872516403196.25</v>
      </c>
      <c r="I35" s="364">
        <f>INDEX('Combined Data'!$B$73:$AJ$73,1,MATCH('BPEiC-CO2'!$A35,'Combined Data'!$B$2:$AJ$2))*10^12</f>
        <v>4933931421632.5576</v>
      </c>
    </row>
    <row r="36" spans="1:9" x14ac:dyDescent="0.25">
      <c r="A36" s="108">
        <v>2050</v>
      </c>
      <c r="B36" s="364">
        <v>0</v>
      </c>
      <c r="C36" s="364">
        <v>0</v>
      </c>
      <c r="D36" s="364">
        <v>0</v>
      </c>
      <c r="E36" s="364">
        <f>INDEX('Combined Data'!$B$27:$AJ$27,1,MATCH('BPEiC-CO2'!$A36,'Combined Data'!$B$2:$AJ$2))*10^12</f>
        <v>9399212342873.9922</v>
      </c>
      <c r="F36" s="364">
        <v>0</v>
      </c>
      <c r="G36" s="364">
        <f>INDEX('Combined Data'!$B$45:$AJ$45,1,MATCH('BPEiC-CO2'!$A36,'Combined Data'!$B$2:$AJ$2))*10^12</f>
        <v>6729769328188.5791</v>
      </c>
      <c r="H36" s="364">
        <f>INDEX('Combined Data'!$B$58:$AJ$58,1,MATCH('BPEiC-CO2'!$A36,'Combined Data'!$B$2:$AJ$2))*10^12</f>
        <v>206928183529337.5</v>
      </c>
      <c r="I36" s="364">
        <f>INDEX('Combined Data'!$B$73:$AJ$73,1,MATCH('BPEiC-CO2'!$A36,'Combined Data'!$B$2:$AJ$2))*10^12</f>
        <v>4993140492714.1855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3"/>
  </sheetPr>
  <dimension ref="A1:I36"/>
  <sheetViews>
    <sheetView workbookViewId="0">
      <selection activeCell="I36" sqref="B2:I36"/>
    </sheetView>
  </sheetViews>
  <sheetFormatPr defaultColWidth="10.28515625" defaultRowHeight="15" x14ac:dyDescent="0.25"/>
  <cols>
    <col min="1" max="1" width="10.28515625" style="108"/>
    <col min="2" max="9" width="20.140625" style="108" customWidth="1"/>
    <col min="10" max="16384" width="10.28515625" style="106"/>
  </cols>
  <sheetData>
    <row r="1" spans="1:9" x14ac:dyDescent="0.25">
      <c r="A1" s="108" t="s">
        <v>240</v>
      </c>
      <c r="B1" s="108" t="s">
        <v>854</v>
      </c>
      <c r="C1" s="108" t="s">
        <v>855</v>
      </c>
      <c r="D1" s="108" t="s">
        <v>856</v>
      </c>
      <c r="E1" s="108" t="s">
        <v>857</v>
      </c>
      <c r="F1" s="108" t="s">
        <v>858</v>
      </c>
      <c r="G1" s="108" t="s">
        <v>859</v>
      </c>
      <c r="H1" s="108" t="s">
        <v>860</v>
      </c>
      <c r="I1" s="108" t="s">
        <v>861</v>
      </c>
    </row>
    <row r="2" spans="1:9" x14ac:dyDescent="0.25">
      <c r="A2" s="108">
        <v>2016</v>
      </c>
      <c r="B2" s="364">
        <v>0</v>
      </c>
      <c r="C2" s="364">
        <v>0</v>
      </c>
      <c r="D2" s="364">
        <v>0</v>
      </c>
      <c r="E2" s="364">
        <f>INDEX('Combined Data'!$B$28:$AJ$28,1,MATCH('BPEiC-CO2'!$A2,'Combined Data'!$B$2:$AJ$2))*10^12</f>
        <v>236667884778900</v>
      </c>
      <c r="F2" s="364">
        <v>0</v>
      </c>
      <c r="G2" s="364">
        <v>0</v>
      </c>
      <c r="H2" s="364">
        <v>0</v>
      </c>
      <c r="I2" s="364">
        <f>INDEX('Combined Data'!$B$71:$AJ$71,1,MATCH('BPEiC-CO2'!$A2,'Combined Data'!$B$2:$AJ$2))*10^12</f>
        <v>11219995591515.541</v>
      </c>
    </row>
    <row r="3" spans="1:9" x14ac:dyDescent="0.25">
      <c r="A3" s="108">
        <v>2017</v>
      </c>
      <c r="B3" s="364">
        <v>0</v>
      </c>
      <c r="C3" s="364">
        <v>0</v>
      </c>
      <c r="D3" s="364">
        <v>0</v>
      </c>
      <c r="E3" s="364">
        <f>INDEX('Combined Data'!$B$28:$AJ$28,1,MATCH('BPEiC-CO2'!$A3,'Combined Data'!$B$2:$AJ$2))*10^12</f>
        <v>250960256817845</v>
      </c>
      <c r="F3" s="364">
        <v>0</v>
      </c>
      <c r="G3" s="364">
        <v>0</v>
      </c>
      <c r="H3" s="364">
        <v>0</v>
      </c>
      <c r="I3" s="364">
        <f>INDEX('Combined Data'!$B$71:$AJ$71,1,MATCH('BPEiC-CO2'!$A3,'Combined Data'!$B$2:$AJ$2))*10^12</f>
        <v>11059733437974.354</v>
      </c>
    </row>
    <row r="4" spans="1:9" x14ac:dyDescent="0.25">
      <c r="A4" s="108">
        <v>2018</v>
      </c>
      <c r="B4" s="364">
        <v>0</v>
      </c>
      <c r="C4" s="364">
        <v>0</v>
      </c>
      <c r="D4" s="364">
        <v>0</v>
      </c>
      <c r="E4" s="364">
        <f>INDEX('Combined Data'!$B$28:$AJ$28,1,MATCH('BPEiC-CO2'!$A4,'Combined Data'!$B$2:$AJ$2))*10^12</f>
        <v>265267247458737.25</v>
      </c>
      <c r="F4" s="364">
        <v>0</v>
      </c>
      <c r="G4" s="364">
        <v>0</v>
      </c>
      <c r="H4" s="364">
        <v>0</v>
      </c>
      <c r="I4" s="364">
        <f>INDEX('Combined Data'!$B$71:$AJ$71,1,MATCH('BPEiC-CO2'!$A4,'Combined Data'!$B$2:$AJ$2))*10^12</f>
        <v>11069169176406.646</v>
      </c>
    </row>
    <row r="5" spans="1:9" x14ac:dyDescent="0.25">
      <c r="A5" s="108">
        <v>2019</v>
      </c>
      <c r="B5" s="364">
        <v>0</v>
      </c>
      <c r="C5" s="364">
        <v>0</v>
      </c>
      <c r="D5" s="364">
        <v>0</v>
      </c>
      <c r="E5" s="364">
        <f>INDEX('Combined Data'!$B$28:$AJ$28,1,MATCH('BPEiC-CO2'!$A5,'Combined Data'!$B$2:$AJ$2))*10^12</f>
        <v>279589587631674.13</v>
      </c>
      <c r="F5" s="364">
        <v>0</v>
      </c>
      <c r="G5" s="364">
        <v>0</v>
      </c>
      <c r="H5" s="364">
        <v>0</v>
      </c>
      <c r="I5" s="364">
        <f>INDEX('Combined Data'!$B$71:$AJ$71,1,MATCH('BPEiC-CO2'!$A5,'Combined Data'!$B$2:$AJ$2))*10^12</f>
        <v>11066626673711.451</v>
      </c>
    </row>
    <row r="6" spans="1:9" x14ac:dyDescent="0.25">
      <c r="A6" s="108">
        <v>2020</v>
      </c>
      <c r="B6" s="364">
        <v>0</v>
      </c>
      <c r="C6" s="364">
        <v>0</v>
      </c>
      <c r="D6" s="364">
        <v>0</v>
      </c>
      <c r="E6" s="364">
        <f>INDEX('Combined Data'!$B$28:$AJ$28,1,MATCH('BPEiC-CO2'!$A6,'Combined Data'!$B$2:$AJ$2))*10^12</f>
        <v>293928044813257.81</v>
      </c>
      <c r="F6" s="364">
        <v>0</v>
      </c>
      <c r="G6" s="364">
        <v>0</v>
      </c>
      <c r="H6" s="364">
        <v>0</v>
      </c>
      <c r="I6" s="364">
        <f>INDEX('Combined Data'!$B$71:$AJ$71,1,MATCH('BPEiC-CO2'!$A6,'Combined Data'!$B$2:$AJ$2))*10^12</f>
        <v>11046649112204.494</v>
      </c>
    </row>
    <row r="7" spans="1:9" x14ac:dyDescent="0.25">
      <c r="A7" s="108">
        <v>2021</v>
      </c>
      <c r="B7" s="364">
        <v>0</v>
      </c>
      <c r="C7" s="364">
        <v>0</v>
      </c>
      <c r="D7" s="364">
        <v>0</v>
      </c>
      <c r="E7" s="364">
        <f>INDEX('Combined Data'!$B$28:$AJ$28,1,MATCH('BPEiC-CO2'!$A7,'Combined Data'!$B$2:$AJ$2))*10^12</f>
        <v>310062980853926.56</v>
      </c>
      <c r="F7" s="364">
        <v>0</v>
      </c>
      <c r="G7" s="364">
        <v>0</v>
      </c>
      <c r="H7" s="364">
        <v>0</v>
      </c>
      <c r="I7" s="364">
        <f>INDEX('Combined Data'!$B$71:$AJ$71,1,MATCH('BPEiC-CO2'!$A7,'Combined Data'!$B$2:$AJ$2))*10^12</f>
        <v>11219136440169.238</v>
      </c>
    </row>
    <row r="8" spans="1:9" x14ac:dyDescent="0.25">
      <c r="A8" s="108">
        <v>2022</v>
      </c>
      <c r="B8" s="364">
        <v>0</v>
      </c>
      <c r="C8" s="364">
        <v>0</v>
      </c>
      <c r="D8" s="364">
        <v>0</v>
      </c>
      <c r="E8" s="364">
        <f>INDEX('Combined Data'!$B$28:$AJ$28,1,MATCH('BPEiC-CO2'!$A8,'Combined Data'!$B$2:$AJ$2))*10^12</f>
        <v>328036129896621.13</v>
      </c>
      <c r="F8" s="364">
        <v>0</v>
      </c>
      <c r="G8" s="364">
        <v>0</v>
      </c>
      <c r="H8" s="364">
        <v>0</v>
      </c>
      <c r="I8" s="364">
        <f>INDEX('Combined Data'!$B$71:$AJ$71,1,MATCH('BPEiC-CO2'!$A8,'Combined Data'!$B$2:$AJ$2))*10^12</f>
        <v>11408390762607.303</v>
      </c>
    </row>
    <row r="9" spans="1:9" x14ac:dyDescent="0.25">
      <c r="A9" s="108">
        <v>2023</v>
      </c>
      <c r="B9" s="364">
        <v>0</v>
      </c>
      <c r="C9" s="364">
        <v>0</v>
      </c>
      <c r="D9" s="364">
        <v>0</v>
      </c>
      <c r="E9" s="364">
        <f>INDEX('Combined Data'!$B$28:$AJ$28,1,MATCH('BPEiC-CO2'!$A9,'Combined Data'!$B$2:$AJ$2))*10^12</f>
        <v>346027936391450.5</v>
      </c>
      <c r="F9" s="364">
        <v>0</v>
      </c>
      <c r="G9" s="364">
        <v>0</v>
      </c>
      <c r="H9" s="364">
        <v>0</v>
      </c>
      <c r="I9" s="364">
        <f>INDEX('Combined Data'!$B$71:$AJ$71,1,MATCH('BPEiC-CO2'!$A9,'Combined Data'!$B$2:$AJ$2))*10^12</f>
        <v>11614898076491.23</v>
      </c>
    </row>
    <row r="10" spans="1:9" x14ac:dyDescent="0.25">
      <c r="A10" s="108">
        <v>2024</v>
      </c>
      <c r="B10" s="364">
        <v>0</v>
      </c>
      <c r="C10" s="364">
        <v>0</v>
      </c>
      <c r="D10" s="364">
        <v>0</v>
      </c>
      <c r="E10" s="364">
        <f>INDEX('Combined Data'!$B$28:$AJ$28,1,MATCH('BPEiC-CO2'!$A10,'Combined Data'!$B$2:$AJ$2))*10^12</f>
        <v>364039333211021.44</v>
      </c>
      <c r="F10" s="364">
        <v>0</v>
      </c>
      <c r="G10" s="364">
        <v>0</v>
      </c>
      <c r="H10" s="364">
        <v>0</v>
      </c>
      <c r="I10" s="364">
        <f>INDEX('Combined Data'!$B$71:$AJ$71,1,MATCH('BPEiC-CO2'!$A10,'Combined Data'!$B$2:$AJ$2))*10^12</f>
        <v>11839190867508.545</v>
      </c>
    </row>
    <row r="11" spans="1:9" x14ac:dyDescent="0.25">
      <c r="A11" s="108">
        <v>2025</v>
      </c>
      <c r="B11" s="364">
        <v>0</v>
      </c>
      <c r="C11" s="364">
        <v>0</v>
      </c>
      <c r="D11" s="364">
        <v>0</v>
      </c>
      <c r="E11" s="364">
        <f>INDEX('Combined Data'!$B$28:$AJ$28,1,MATCH('BPEiC-CO2'!$A11,'Combined Data'!$B$2:$AJ$2))*10^12</f>
        <v>382071299871570.94</v>
      </c>
      <c r="F11" s="364">
        <v>0</v>
      </c>
      <c r="G11" s="364">
        <v>0</v>
      </c>
      <c r="H11" s="364">
        <v>0</v>
      </c>
      <c r="I11" s="364">
        <f>INDEX('Combined Data'!$B$71:$AJ$71,1,MATCH('BPEiC-CO2'!$A11,'Combined Data'!$B$2:$AJ$2))*10^12</f>
        <v>12081849216940.523</v>
      </c>
    </row>
    <row r="12" spans="1:9" x14ac:dyDescent="0.25">
      <c r="A12" s="108">
        <v>2026</v>
      </c>
      <c r="B12" s="364">
        <v>0</v>
      </c>
      <c r="C12" s="364">
        <v>0</v>
      </c>
      <c r="D12" s="364">
        <v>0</v>
      </c>
      <c r="E12" s="364">
        <f>INDEX('Combined Data'!$B$28:$AJ$28,1,MATCH('BPEiC-CO2'!$A12,'Combined Data'!$B$2:$AJ$2))*10^12</f>
        <v>391924864865150.94</v>
      </c>
      <c r="F12" s="364">
        <v>0</v>
      </c>
      <c r="G12" s="364">
        <v>0</v>
      </c>
      <c r="H12" s="364">
        <v>0</v>
      </c>
      <c r="I12" s="364">
        <f>INDEX('Combined Data'!$B$71:$AJ$71,1,MATCH('BPEiC-CO2'!$A12,'Combined Data'!$B$2:$AJ$2))*10^12</f>
        <v>12343502065323.727</v>
      </c>
    </row>
    <row r="13" spans="1:9" x14ac:dyDescent="0.25">
      <c r="A13" s="108">
        <v>2027</v>
      </c>
      <c r="B13" s="364">
        <v>0</v>
      </c>
      <c r="C13" s="364">
        <v>0</v>
      </c>
      <c r="D13" s="364">
        <v>0</v>
      </c>
      <c r="E13" s="364">
        <f>INDEX('Combined Data'!$B$28:$AJ$28,1,MATCH('BPEiC-CO2'!$A13,'Combined Data'!$B$2:$AJ$2))*10^12</f>
        <v>401801108108406.25</v>
      </c>
      <c r="F13" s="364">
        <v>0</v>
      </c>
      <c r="G13" s="364">
        <v>0</v>
      </c>
      <c r="H13" s="364">
        <v>0</v>
      </c>
      <c r="I13" s="364">
        <f>INDEX('Combined Data'!$B$71:$AJ$71,1,MATCH('BPEiC-CO2'!$A13,'Combined Data'!$B$2:$AJ$2))*10^12</f>
        <v>12624828633965.016</v>
      </c>
    </row>
    <row r="14" spans="1:9" x14ac:dyDescent="0.25">
      <c r="A14" s="108">
        <v>2028</v>
      </c>
      <c r="B14" s="364">
        <v>0</v>
      </c>
      <c r="C14" s="364">
        <v>0</v>
      </c>
      <c r="D14" s="364">
        <v>0</v>
      </c>
      <c r="E14" s="364">
        <f>INDEX('Combined Data'!$B$28:$AJ$28,1,MATCH('BPEiC-CO2'!$A14,'Combined Data'!$B$2:$AJ$2))*10^12</f>
        <v>411701163513828.06</v>
      </c>
      <c r="F14" s="364">
        <v>0</v>
      </c>
      <c r="G14" s="364">
        <v>0</v>
      </c>
      <c r="H14" s="364">
        <v>0</v>
      </c>
      <c r="I14" s="364">
        <f>INDEX('Combined Data'!$B$71:$AJ$71,1,MATCH('BPEiC-CO2'!$A14,'Combined Data'!$B$2:$AJ$2))*10^12</f>
        <v>12926560006024.342</v>
      </c>
    </row>
    <row r="15" spans="1:9" x14ac:dyDescent="0.25">
      <c r="A15" s="108">
        <v>2029</v>
      </c>
      <c r="B15" s="364">
        <v>0</v>
      </c>
      <c r="C15" s="364">
        <v>0</v>
      </c>
      <c r="D15" s="364">
        <v>0</v>
      </c>
      <c r="E15" s="364">
        <f>INDEX('Combined Data'!$B$28:$AJ$28,1,MATCH('BPEiC-CO2'!$A15,'Combined Data'!$B$2:$AJ$2))*10^12</f>
        <v>421626221689520.88</v>
      </c>
      <c r="F15" s="364">
        <v>0</v>
      </c>
      <c r="G15" s="364">
        <v>0</v>
      </c>
      <c r="H15" s="364">
        <v>0</v>
      </c>
      <c r="I15" s="364">
        <f>INDEX('Combined Data'!$B$71:$AJ$71,1,MATCH('BPEiC-CO2'!$A15,'Combined Data'!$B$2:$AJ$2))*10^12</f>
        <v>13249480869512.418</v>
      </c>
    </row>
    <row r="16" spans="1:9" x14ac:dyDescent="0.25">
      <c r="A16" s="108">
        <v>2030</v>
      </c>
      <c r="B16" s="364">
        <v>0</v>
      </c>
      <c r="C16" s="364">
        <v>0</v>
      </c>
      <c r="D16" s="364">
        <v>0</v>
      </c>
      <c r="E16" s="364">
        <f>INDEX('Combined Data'!$B$28:$AJ$28,1,MATCH('BPEiC-CO2'!$A16,'Combined Data'!$B$2:$AJ$2))*10^12</f>
        <v>431577532773994.63</v>
      </c>
      <c r="F16" s="364">
        <v>0</v>
      </c>
      <c r="G16" s="364">
        <v>0</v>
      </c>
      <c r="H16" s="364">
        <v>0</v>
      </c>
      <c r="I16" s="364">
        <f>INDEX('Combined Data'!$B$71:$AJ$71,1,MATCH('BPEiC-CO2'!$A16,'Combined Data'!$B$2:$AJ$2))*10^12</f>
        <v>13594431425176.031</v>
      </c>
    </row>
    <row r="17" spans="1:9" x14ac:dyDescent="0.25">
      <c r="A17" s="108">
        <v>2031</v>
      </c>
      <c r="B17" s="364">
        <v>0</v>
      </c>
      <c r="C17" s="364">
        <v>0</v>
      </c>
      <c r="D17" s="364">
        <v>0</v>
      </c>
      <c r="E17" s="364">
        <f>INDEX('Combined Data'!$B$28:$AJ$28,1,MATCH('BPEiC-CO2'!$A17,'Combined Data'!$B$2:$AJ$2))*10^12</f>
        <v>440756409412692.88</v>
      </c>
      <c r="F17" s="364">
        <v>0</v>
      </c>
      <c r="G17" s="364">
        <v>0</v>
      </c>
      <c r="H17" s="364">
        <v>0</v>
      </c>
      <c r="I17" s="364">
        <f>INDEX('Combined Data'!$B$71:$AJ$71,1,MATCH('BPEiC-CO2'!$A17,'Combined Data'!$B$2:$AJ$2))*10^12</f>
        <v>13962309462864.666</v>
      </c>
    </row>
    <row r="18" spans="1:9" x14ac:dyDescent="0.25">
      <c r="A18" s="108">
        <v>2032</v>
      </c>
      <c r="B18" s="364">
        <v>0</v>
      </c>
      <c r="C18" s="364">
        <v>0</v>
      </c>
      <c r="D18" s="364">
        <v>0</v>
      </c>
      <c r="E18" s="364">
        <f>INDEX('Combined Data'!$B$28:$AJ$28,1,MATCH('BPEiC-CO2'!$A18,'Combined Data'!$B$2:$AJ$2))*10^12</f>
        <v>449964229883329.81</v>
      </c>
      <c r="F18" s="364">
        <v>0</v>
      </c>
      <c r="G18" s="364">
        <v>0</v>
      </c>
      <c r="H18" s="364">
        <v>0</v>
      </c>
      <c r="I18" s="364">
        <f>INDEX('Combined Data'!$B$71:$AJ$71,1,MATCH('BPEiC-CO2'!$A18,'Combined Data'!$B$2:$AJ$2))*10^12</f>
        <v>14354072610591.625</v>
      </c>
    </row>
    <row r="19" spans="1:9" x14ac:dyDescent="0.25">
      <c r="A19" s="108">
        <v>2033</v>
      </c>
      <c r="B19" s="364">
        <v>0</v>
      </c>
      <c r="C19" s="364">
        <v>0</v>
      </c>
      <c r="D19" s="364">
        <v>0</v>
      </c>
      <c r="E19" s="364">
        <f>INDEX('Combined Data'!$B$28:$AJ$28,1,MATCH('BPEiC-CO2'!$A19,'Combined Data'!$B$2:$AJ$2))*10^12</f>
        <v>459202441377494.81</v>
      </c>
      <c r="F19" s="364">
        <v>0</v>
      </c>
      <c r="G19" s="364">
        <v>0</v>
      </c>
      <c r="H19" s="364">
        <v>0</v>
      </c>
      <c r="I19" s="364">
        <f>INDEX('Combined Data'!$B$71:$AJ$71,1,MATCH('BPEiC-CO2'!$A19,'Combined Data'!$B$2:$AJ$2))*10^12</f>
        <v>14770740761123.594</v>
      </c>
    </row>
    <row r="20" spans="1:9" x14ac:dyDescent="0.25">
      <c r="A20" s="108">
        <v>2034</v>
      </c>
      <c r="B20" s="364">
        <v>0</v>
      </c>
      <c r="C20" s="364">
        <v>0</v>
      </c>
      <c r="D20" s="364">
        <v>0</v>
      </c>
      <c r="E20" s="364">
        <f>INDEX('Combined Data'!$B$28:$AJ$28,1,MATCH('BPEiC-CO2'!$A20,'Combined Data'!$B$2:$AJ$2))*10^12</f>
        <v>468472563446368.13</v>
      </c>
      <c r="F20" s="364">
        <v>0</v>
      </c>
      <c r="G20" s="364">
        <v>0</v>
      </c>
      <c r="H20" s="364">
        <v>0</v>
      </c>
      <c r="I20" s="364">
        <f>INDEX('Combined Data'!$B$71:$AJ$71,1,MATCH('BPEiC-CO2'!$A20,'Combined Data'!$B$2:$AJ$2))*10^12</f>
        <v>15213398681557.396</v>
      </c>
    </row>
    <row r="21" spans="1:9" x14ac:dyDescent="0.25">
      <c r="A21" s="108">
        <v>2035</v>
      </c>
      <c r="B21" s="364">
        <v>0</v>
      </c>
      <c r="C21" s="364">
        <v>0</v>
      </c>
      <c r="D21" s="364">
        <v>0</v>
      </c>
      <c r="E21" s="364">
        <f>INDEX('Combined Data'!$B$28:$AJ$28,1,MATCH('BPEiC-CO2'!$A21,'Combined Data'!$B$2:$AJ$2))*10^12</f>
        <v>477776191618688.81</v>
      </c>
      <c r="F21" s="364">
        <v>0</v>
      </c>
      <c r="G21" s="364">
        <v>0</v>
      </c>
      <c r="H21" s="364">
        <v>0</v>
      </c>
      <c r="I21" s="364">
        <f>INDEX('Combined Data'!$B$71:$AJ$71,1,MATCH('BPEiC-CO2'!$A21,'Combined Data'!$B$2:$AJ$2))*10^12</f>
        <v>15683198811974.145</v>
      </c>
    </row>
    <row r="22" spans="1:9" x14ac:dyDescent="0.25">
      <c r="A22" s="108">
        <v>2036</v>
      </c>
      <c r="B22" s="364">
        <v>0</v>
      </c>
      <c r="C22" s="364">
        <v>0</v>
      </c>
      <c r="D22" s="364">
        <v>0</v>
      </c>
      <c r="E22" s="364">
        <f>INDEX('Combined Data'!$B$28:$AJ$28,1,MATCH('BPEiC-CO2'!$A22,'Combined Data'!$B$2:$AJ$2))*10^12</f>
        <v>485915001199624.75</v>
      </c>
      <c r="F22" s="364">
        <v>0</v>
      </c>
      <c r="G22" s="364">
        <v>0</v>
      </c>
      <c r="H22" s="364">
        <v>0</v>
      </c>
      <c r="I22" s="364">
        <f>INDEX('Combined Data'!$B$71:$AJ$71,1,MATCH('BPEiC-CO2'!$A22,'Combined Data'!$B$2:$AJ$2))*10^12</f>
        <v>16181364259901.834</v>
      </c>
    </row>
    <row r="23" spans="1:9" x14ac:dyDescent="0.25">
      <c r="A23" s="108">
        <v>2037</v>
      </c>
      <c r="B23" s="364">
        <v>0</v>
      </c>
      <c r="C23" s="364">
        <v>0</v>
      </c>
      <c r="D23" s="364">
        <v>0</v>
      </c>
      <c r="E23" s="364">
        <f>INDEX('Combined Data'!$B$28:$AJ$28,1,MATCH('BPEiC-CO2'!$A23,'Combined Data'!$B$2:$AJ$2))*10^12</f>
        <v>494090751259605.56</v>
      </c>
      <c r="F23" s="364">
        <v>0</v>
      </c>
      <c r="G23" s="364">
        <v>0</v>
      </c>
      <c r="H23" s="364">
        <v>0</v>
      </c>
      <c r="I23" s="364">
        <f>INDEX('Combined Data'!$B$71:$AJ$71,1,MATCH('BPEiC-CO2'!$A23,'Combined Data'!$B$2:$AJ$2))*10^12</f>
        <v>16709191997970.404</v>
      </c>
    </row>
    <row r="24" spans="1:9" x14ac:dyDescent="0.25">
      <c r="A24" s="108">
        <v>2038</v>
      </c>
      <c r="B24" s="364">
        <v>0</v>
      </c>
      <c r="C24" s="364">
        <v>0</v>
      </c>
      <c r="D24" s="364">
        <v>0</v>
      </c>
      <c r="E24" s="364">
        <f>INDEX('Combined Data'!$B$28:$AJ$28,1,MATCH('BPEiC-CO2'!$A24,'Combined Data'!$B$2:$AJ$2))*10^12</f>
        <v>502305288822585.38</v>
      </c>
      <c r="F24" s="364">
        <v>0</v>
      </c>
      <c r="G24" s="364">
        <v>0</v>
      </c>
      <c r="H24" s="364">
        <v>0</v>
      </c>
      <c r="I24" s="364">
        <f>INDEX('Combined Data'!$B$71:$AJ$71,1,MATCH('BPEiC-CO2'!$A24,'Combined Data'!$B$2:$AJ$2))*10^12</f>
        <v>17268056272810.512</v>
      </c>
    </row>
    <row r="25" spans="1:9" x14ac:dyDescent="0.25">
      <c r="A25" s="108">
        <v>2039</v>
      </c>
      <c r="B25" s="364">
        <v>0</v>
      </c>
      <c r="C25" s="364">
        <v>0</v>
      </c>
      <c r="D25" s="364">
        <v>0</v>
      </c>
      <c r="E25" s="364">
        <f>INDEX('Combined Data'!$B$28:$AJ$28,1,MATCH('BPEiC-CO2'!$A25,'Combined Data'!$B$2:$AJ$2))*10^12</f>
        <v>510560553263714.25</v>
      </c>
      <c r="F25" s="364">
        <v>0</v>
      </c>
      <c r="G25" s="364">
        <v>0</v>
      </c>
      <c r="H25" s="364">
        <v>0</v>
      </c>
      <c r="I25" s="364">
        <f>INDEX('Combined Data'!$B$71:$AJ$71,1,MATCH('BPEiC-CO2'!$A25,'Combined Data'!$B$2:$AJ$2))*10^12</f>
        <v>17859412233932.117</v>
      </c>
    </row>
    <row r="26" spans="1:9" x14ac:dyDescent="0.25">
      <c r="A26" s="108">
        <v>2040</v>
      </c>
      <c r="B26" s="364">
        <v>0</v>
      </c>
      <c r="C26" s="364">
        <v>0</v>
      </c>
      <c r="D26" s="364">
        <v>0</v>
      </c>
      <c r="E26" s="364">
        <f>INDEX('Combined Data'!$B$28:$AJ$28,1,MATCH('BPEiC-CO2'!$A26,'Combined Data'!$B$2:$AJ$2))*10^12</f>
        <v>518858580926899.56</v>
      </c>
      <c r="F26" s="364">
        <v>0</v>
      </c>
      <c r="G26" s="364">
        <v>0</v>
      </c>
      <c r="H26" s="364">
        <v>0</v>
      </c>
      <c r="I26" s="364">
        <f>INDEX('Combined Data'!$B$71:$AJ$71,1,MATCH('BPEiC-CO2'!$A26,'Combined Data'!$B$2:$AJ$2))*10^12</f>
        <v>18484799792023.262</v>
      </c>
    </row>
    <row r="27" spans="1:9" x14ac:dyDescent="0.25">
      <c r="A27" s="108">
        <v>2041</v>
      </c>
      <c r="B27" s="364">
        <v>0</v>
      </c>
      <c r="C27" s="364">
        <v>0</v>
      </c>
      <c r="D27" s="364">
        <v>0</v>
      </c>
      <c r="E27" s="364">
        <f>INDEX('Combined Data'!$B$28:$AJ$28,1,MATCH('BPEiC-CO2'!$A27,'Combined Data'!$B$2:$AJ$2))*10^12</f>
        <v>526001509973245.31</v>
      </c>
      <c r="F27" s="364">
        <v>0</v>
      </c>
      <c r="G27" s="364">
        <v>0</v>
      </c>
      <c r="H27" s="364">
        <v>0</v>
      </c>
      <c r="I27" s="364">
        <f>INDEX('Combined Data'!$B$71:$AJ$71,1,MATCH('BPEiC-CO2'!$A27,'Combined Data'!$B$2:$AJ$2))*10^12</f>
        <v>19145847716836.48</v>
      </c>
    </row>
    <row r="28" spans="1:9" x14ac:dyDescent="0.25">
      <c r="A28" s="108">
        <v>2042</v>
      </c>
      <c r="B28" s="364">
        <v>0</v>
      </c>
      <c r="C28" s="364">
        <v>0</v>
      </c>
      <c r="D28" s="364">
        <v>0</v>
      </c>
      <c r="E28" s="364">
        <f>INDEX('Combined Data'!$B$28:$AJ$28,1,MATCH('BPEiC-CO2'!$A28,'Combined Data'!$B$2:$AJ$2))*10^12</f>
        <v>533191585471906.5</v>
      </c>
      <c r="F28" s="364">
        <v>0</v>
      </c>
      <c r="G28" s="364">
        <v>0</v>
      </c>
      <c r="H28" s="364">
        <v>0</v>
      </c>
      <c r="I28" s="364">
        <f>INDEX('Combined Data'!$B$71:$AJ$71,1,MATCH('BPEiC-CO2'!$A28,'Combined Data'!$B$2:$AJ$2))*10^12</f>
        <v>19844277985582.141</v>
      </c>
    </row>
    <row r="29" spans="1:9" x14ac:dyDescent="0.25">
      <c r="A29" s="108">
        <v>2043</v>
      </c>
      <c r="B29" s="364">
        <v>0</v>
      </c>
      <c r="C29" s="364">
        <v>0</v>
      </c>
      <c r="D29" s="364">
        <v>0</v>
      </c>
      <c r="E29" s="364">
        <f>INDEX('Combined Data'!$B$28:$AJ$28,1,MATCH('BPEiC-CO2'!$A29,'Combined Data'!$B$2:$AJ$2))*10^12</f>
        <v>540431164745502.56</v>
      </c>
      <c r="F29" s="364">
        <v>0</v>
      </c>
      <c r="G29" s="364">
        <v>0</v>
      </c>
      <c r="H29" s="364">
        <v>0</v>
      </c>
      <c r="I29" s="364">
        <f>INDEX('Combined Data'!$B$71:$AJ$71,1,MATCH('BPEiC-CO2'!$A29,'Combined Data'!$B$2:$AJ$2))*10^12</f>
        <v>20581910393527.828</v>
      </c>
    </row>
    <row r="30" spans="1:9" x14ac:dyDescent="0.25">
      <c r="A30" s="108">
        <v>2044</v>
      </c>
      <c r="B30" s="364">
        <v>0</v>
      </c>
      <c r="C30" s="364">
        <v>0</v>
      </c>
      <c r="D30" s="364">
        <v>0</v>
      </c>
      <c r="E30" s="364">
        <f>INDEX('Combined Data'!$B$28:$AJ$28,1,MATCH('BPEiC-CO2'!$A30,'Combined Data'!$B$2:$AJ$2))*10^12</f>
        <v>547722722982778.38</v>
      </c>
      <c r="F30" s="364">
        <v>0</v>
      </c>
      <c r="G30" s="364">
        <v>0</v>
      </c>
      <c r="H30" s="364">
        <v>0</v>
      </c>
      <c r="I30" s="364">
        <f>INDEX('Combined Data'!$B$71:$AJ$71,1,MATCH('BPEiC-CO2'!$A30,'Combined Data'!$B$2:$AJ$2))*10^12</f>
        <v>21360667439313.531</v>
      </c>
    </row>
    <row r="31" spans="1:9" x14ac:dyDescent="0.25">
      <c r="A31" s="108">
        <v>2045</v>
      </c>
      <c r="B31" s="364">
        <v>0</v>
      </c>
      <c r="C31" s="364">
        <v>0</v>
      </c>
      <c r="D31" s="364">
        <v>0</v>
      </c>
      <c r="E31" s="364">
        <f>INDEX('Combined Data'!$B$28:$AJ$28,1,MATCH('BPEiC-CO2'!$A31,'Combined Data'!$B$2:$AJ$2))*10^12</f>
        <v>555068859131916.13</v>
      </c>
      <c r="F31" s="364">
        <v>0</v>
      </c>
      <c r="G31" s="364">
        <v>0</v>
      </c>
      <c r="H31" s="364">
        <v>0</v>
      </c>
      <c r="I31" s="364">
        <f>INDEX('Combined Data'!$B$71:$AJ$71,1,MATCH('BPEiC-CO2'!$A31,'Combined Data'!$B$2:$AJ$2))*10^12</f>
        <v>22182579498335.902</v>
      </c>
    </row>
    <row r="32" spans="1:9" x14ac:dyDescent="0.25">
      <c r="A32" s="108">
        <v>2046</v>
      </c>
      <c r="B32" s="364">
        <v>0</v>
      </c>
      <c r="C32" s="364">
        <v>0</v>
      </c>
      <c r="D32" s="364">
        <v>0</v>
      </c>
      <c r="E32" s="364">
        <f>INDEX('Combined Data'!$B$28:$AJ$28,1,MATCH('BPEiC-CO2'!$A32,'Combined Data'!$B$2:$AJ$2))*10^12</f>
        <v>561272302088511.88</v>
      </c>
      <c r="F32" s="364">
        <v>0</v>
      </c>
      <c r="G32" s="364">
        <v>0</v>
      </c>
      <c r="H32" s="364">
        <v>0</v>
      </c>
      <c r="I32" s="364">
        <f>INDEX('Combined Data'!$B$71:$AJ$71,1,MATCH('BPEiC-CO2'!$A32,'Combined Data'!$B$2:$AJ$2))*10^12</f>
        <v>23049790298435.27</v>
      </c>
    </row>
    <row r="33" spans="1:9" x14ac:dyDescent="0.25">
      <c r="A33" s="108">
        <v>2047</v>
      </c>
      <c r="B33" s="364">
        <v>0</v>
      </c>
      <c r="C33" s="364">
        <v>0</v>
      </c>
      <c r="D33" s="364">
        <v>0</v>
      </c>
      <c r="E33" s="364">
        <f>INDEX('Combined Data'!$B$28:$AJ$28,1,MATCH('BPEiC-CO2'!$A33,'Combined Data'!$B$2:$AJ$2))*10^12</f>
        <v>567535917192937.5</v>
      </c>
      <c r="F33" s="364">
        <v>0</v>
      </c>
      <c r="G33" s="364">
        <v>0</v>
      </c>
      <c r="H33" s="364">
        <v>0</v>
      </c>
      <c r="I33" s="364">
        <f>INDEX('Combined Data'!$B$71:$AJ$71,1,MATCH('BPEiC-CO2'!$A33,'Combined Data'!$B$2:$AJ$2))*10^12</f>
        <v>23964562713038.512</v>
      </c>
    </row>
    <row r="34" spans="1:9" x14ac:dyDescent="0.25">
      <c r="A34" s="108">
        <v>2048</v>
      </c>
      <c r="B34" s="364">
        <v>0</v>
      </c>
      <c r="C34" s="364">
        <v>0</v>
      </c>
      <c r="D34" s="364">
        <v>0</v>
      </c>
      <c r="E34" s="364">
        <f>INDEX('Combined Data'!$B$28:$AJ$28,1,MATCH('BPEiC-CO2'!$A34,'Combined Data'!$B$2:$AJ$2))*10^12</f>
        <v>573862713052584.38</v>
      </c>
      <c r="F34" s="364">
        <v>0</v>
      </c>
      <c r="G34" s="364">
        <v>0</v>
      </c>
      <c r="H34" s="364">
        <v>0</v>
      </c>
      <c r="I34" s="364">
        <f>INDEX('Combined Data'!$B$71:$AJ$71,1,MATCH('BPEiC-CO2'!$A34,'Combined Data'!$B$2:$AJ$2))*10^12</f>
        <v>24929284887872.758</v>
      </c>
    </row>
    <row r="35" spans="1:9" x14ac:dyDescent="0.25">
      <c r="A35" s="108">
        <v>2049</v>
      </c>
      <c r="B35" s="364">
        <v>0</v>
      </c>
      <c r="C35" s="364">
        <v>0</v>
      </c>
      <c r="D35" s="364">
        <v>0</v>
      </c>
      <c r="E35" s="364">
        <f>INDEX('Combined Data'!$B$28:$AJ$28,1,MATCH('BPEiC-CO2'!$A35,'Combined Data'!$B$2:$AJ$2))*10^12</f>
        <v>580255848705213.63</v>
      </c>
      <c r="F35" s="364">
        <v>0</v>
      </c>
      <c r="G35" s="364">
        <v>0</v>
      </c>
      <c r="H35" s="364">
        <v>0</v>
      </c>
      <c r="I35" s="364">
        <f>INDEX('Combined Data'!$B$71:$AJ$71,1,MATCH('BPEiC-CO2'!$A35,'Combined Data'!$B$2:$AJ$2))*10^12</f>
        <v>25946476718372.773</v>
      </c>
    </row>
    <row r="36" spans="1:9" x14ac:dyDescent="0.25">
      <c r="A36" s="108">
        <v>2050</v>
      </c>
      <c r="B36" s="364">
        <v>0</v>
      </c>
      <c r="C36" s="364">
        <v>0</v>
      </c>
      <c r="D36" s="364">
        <v>0</v>
      </c>
      <c r="E36" s="364">
        <f>INDEX('Combined Data'!$B$28:$AJ$28,1,MATCH('BPEiC-CO2'!$A36,'Combined Data'!$B$2:$AJ$2))*10^12</f>
        <v>586718641140474.25</v>
      </c>
      <c r="F36" s="364">
        <v>0</v>
      </c>
      <c r="G36" s="364">
        <v>0</v>
      </c>
      <c r="H36" s="364">
        <v>0</v>
      </c>
      <c r="I36" s="364">
        <f>INDEX('Combined Data'!$B$71:$AJ$71,1,MATCH('BPEiC-CO2'!$A36,'Combined Data'!$B$2:$AJ$2))*10^12</f>
        <v>27018796695961.121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5" tint="0.79998168889431442"/>
  </sheetPr>
  <dimension ref="A1:AB185"/>
  <sheetViews>
    <sheetView workbookViewId="0">
      <pane xSplit="1" ySplit="7" topLeftCell="B83" activePane="bottomRight" state="frozen"/>
      <selection activeCell="E37" sqref="E37"/>
      <selection pane="topRight" activeCell="E37" sqref="E37"/>
      <selection pane="bottomLeft" activeCell="E37" sqref="E37"/>
      <selection pane="bottomRight" activeCell="E37" sqref="E37"/>
    </sheetView>
  </sheetViews>
  <sheetFormatPr defaultColWidth="9.140625" defaultRowHeight="12" x14ac:dyDescent="0.2"/>
  <cols>
    <col min="1" max="1" width="29.140625" style="241" customWidth="1"/>
    <col min="2" max="27" width="7.85546875" style="243" customWidth="1"/>
    <col min="28" max="16384" width="9.140625" style="178"/>
  </cols>
  <sheetData>
    <row r="1" spans="1:28" s="165" customFormat="1" ht="15.75" x14ac:dyDescent="0.25">
      <c r="A1" s="165" t="s">
        <v>1164</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row>
    <row r="2" spans="1:28" s="169" customFormat="1" ht="12.75" x14ac:dyDescent="0.2">
      <c r="A2" s="167"/>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row>
    <row r="3" spans="1:28" s="169" customFormat="1" ht="12.75" x14ac:dyDescent="0.2">
      <c r="A3" s="170" t="s">
        <v>1165</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row>
    <row r="4" spans="1:28" s="169" customFormat="1" ht="12.75" x14ac:dyDescent="0.2">
      <c r="A4" s="167" t="s">
        <v>1166</v>
      </c>
      <c r="B4" s="168"/>
      <c r="C4" s="168"/>
      <c r="D4" s="168"/>
      <c r="E4" s="168"/>
      <c r="F4" s="168"/>
      <c r="G4" s="168"/>
      <c r="H4" s="168"/>
      <c r="I4" s="168"/>
      <c r="J4" s="168"/>
      <c r="K4" s="168"/>
      <c r="L4" s="168"/>
      <c r="M4" s="168"/>
      <c r="N4" s="168"/>
      <c r="O4" s="168"/>
      <c r="P4" s="168"/>
      <c r="Q4" s="168"/>
      <c r="R4" s="168"/>
      <c r="S4" s="168"/>
      <c r="T4" s="168"/>
      <c r="U4" s="168"/>
      <c r="V4" s="168"/>
      <c r="W4" s="168"/>
      <c r="X4" s="168"/>
      <c r="Y4" s="168"/>
      <c r="Z4" s="168"/>
      <c r="AA4" s="168"/>
    </row>
    <row r="5" spans="1:28" s="169" customFormat="1" ht="12.75" x14ac:dyDescent="0.2">
      <c r="A5" s="167" t="s">
        <v>1167</v>
      </c>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row>
    <row r="6" spans="1:28" s="169" customFormat="1" ht="12.75" x14ac:dyDescent="0.2">
      <c r="A6" s="171"/>
      <c r="B6" s="168"/>
      <c r="C6" s="168"/>
      <c r="D6" s="168"/>
      <c r="E6" s="168"/>
      <c r="F6" s="168"/>
      <c r="G6" s="168"/>
      <c r="H6" s="168"/>
      <c r="I6" s="168"/>
      <c r="J6" s="168"/>
      <c r="K6" s="168"/>
      <c r="L6" s="168"/>
      <c r="M6" s="168"/>
      <c r="N6" s="168"/>
      <c r="O6" s="168"/>
      <c r="P6" s="168"/>
      <c r="Q6" s="168"/>
      <c r="R6" s="168"/>
      <c r="S6" s="168"/>
      <c r="T6" s="168"/>
      <c r="U6" s="168"/>
      <c r="V6" s="168"/>
      <c r="W6" s="168"/>
      <c r="X6" s="168"/>
      <c r="Y6" s="168"/>
      <c r="Z6" s="168"/>
      <c r="AA6" s="168"/>
    </row>
    <row r="7" spans="1:28" s="174" customFormat="1" x14ac:dyDescent="0.2">
      <c r="A7" s="172" t="s">
        <v>1168</v>
      </c>
      <c r="B7" s="173">
        <v>1990</v>
      </c>
      <c r="C7" s="173">
        <v>1991</v>
      </c>
      <c r="D7" s="173">
        <v>1992</v>
      </c>
      <c r="E7" s="173">
        <v>1993</v>
      </c>
      <c r="F7" s="173">
        <v>1994</v>
      </c>
      <c r="G7" s="173">
        <v>1995</v>
      </c>
      <c r="H7" s="173">
        <v>1996</v>
      </c>
      <c r="I7" s="173">
        <v>1997</v>
      </c>
      <c r="J7" s="173">
        <v>1998</v>
      </c>
      <c r="K7" s="173">
        <v>1999</v>
      </c>
      <c r="L7" s="173">
        <v>2000</v>
      </c>
      <c r="M7" s="173">
        <v>2001</v>
      </c>
      <c r="N7" s="173">
        <v>2002</v>
      </c>
      <c r="O7" s="173">
        <v>2003</v>
      </c>
      <c r="P7" s="173">
        <v>2004</v>
      </c>
      <c r="Q7" s="173">
        <v>2005</v>
      </c>
      <c r="R7" s="173">
        <v>2006</v>
      </c>
      <c r="S7" s="173">
        <v>2007</v>
      </c>
      <c r="T7" s="173">
        <v>2008</v>
      </c>
      <c r="U7" s="173">
        <v>2009</v>
      </c>
      <c r="V7" s="173">
        <v>2010</v>
      </c>
      <c r="W7" s="173">
        <v>2011</v>
      </c>
      <c r="X7" s="173">
        <v>2012</v>
      </c>
      <c r="Y7" s="173">
        <v>2013</v>
      </c>
      <c r="Z7" s="173">
        <v>2014</v>
      </c>
      <c r="AA7" s="173">
        <v>2015</v>
      </c>
    </row>
    <row r="8" spans="1:28" ht="12.75" x14ac:dyDescent="0.2">
      <c r="A8" s="175" t="s">
        <v>1169</v>
      </c>
      <c r="B8" s="176"/>
      <c r="C8" s="176"/>
      <c r="D8" s="176"/>
      <c r="E8" s="176"/>
      <c r="F8" s="176"/>
      <c r="G8" s="176"/>
      <c r="H8" s="176"/>
      <c r="I8" s="176"/>
      <c r="J8" s="176"/>
      <c r="K8" s="176"/>
      <c r="L8" s="176"/>
      <c r="M8" s="176"/>
      <c r="N8" s="176"/>
      <c r="O8" s="176"/>
      <c r="P8" s="176"/>
      <c r="Q8" s="176"/>
      <c r="R8" s="176"/>
      <c r="S8" s="176"/>
      <c r="T8" s="176"/>
      <c r="U8" s="176"/>
      <c r="V8" s="176"/>
      <c r="W8" s="176"/>
      <c r="X8" s="176"/>
      <c r="Y8" s="176"/>
      <c r="Z8" s="176"/>
      <c r="AA8" s="177"/>
    </row>
    <row r="9" spans="1:28" s="180" customFormat="1" x14ac:dyDescent="0.2">
      <c r="A9" s="179" t="s">
        <v>1098</v>
      </c>
      <c r="B9" s="164">
        <v>2825.9304556567981</v>
      </c>
      <c r="C9" s="164">
        <v>2930.8032257059158</v>
      </c>
      <c r="D9" s="164">
        <v>2917.234360999108</v>
      </c>
      <c r="E9" s="164">
        <v>2993.2673671921521</v>
      </c>
      <c r="F9" s="164">
        <v>3072.7116316393231</v>
      </c>
      <c r="G9" s="164">
        <v>3066.5970505645573</v>
      </c>
      <c r="H9" s="164">
        <v>3186.1638301534608</v>
      </c>
      <c r="I9" s="164">
        <v>3253.4196681855906</v>
      </c>
      <c r="J9" s="164">
        <v>3315.2203787466265</v>
      </c>
      <c r="K9" s="164">
        <v>3446.8412474430288</v>
      </c>
      <c r="L9" s="164">
        <v>3467.9894308308562</v>
      </c>
      <c r="M9" s="164">
        <v>3720.1838071618504</v>
      </c>
      <c r="N9" s="164">
        <v>3690.8266033052305</v>
      </c>
      <c r="O9" s="164">
        <v>3810.6604204212276</v>
      </c>
      <c r="P9" s="164">
        <v>3893.6332682564885</v>
      </c>
      <c r="Q9" s="164">
        <v>4038.3997552268538</v>
      </c>
      <c r="R9" s="164">
        <v>4230.9833814303884</v>
      </c>
      <c r="S9" s="164">
        <v>4310.4383626268373</v>
      </c>
      <c r="T9" s="164">
        <v>4541.751421906436</v>
      </c>
      <c r="U9" s="164">
        <v>4366.4171748323215</v>
      </c>
      <c r="V9" s="164">
        <v>4392.5961051402764</v>
      </c>
      <c r="W9" s="164">
        <v>4496.1172311360642</v>
      </c>
      <c r="X9" s="164">
        <v>4587.4492447928587</v>
      </c>
      <c r="Y9" s="164">
        <v>4577.6117246124377</v>
      </c>
      <c r="Z9" s="164">
        <v>4669.928457351295</v>
      </c>
      <c r="AA9" s="164">
        <v>4630.1991003726653</v>
      </c>
    </row>
    <row r="10" spans="1:28" x14ac:dyDescent="0.2">
      <c r="A10" s="181" t="s">
        <v>1170</v>
      </c>
      <c r="B10" s="182">
        <v>0</v>
      </c>
      <c r="C10" s="182">
        <v>0</v>
      </c>
      <c r="D10" s="182">
        <v>0</v>
      </c>
      <c r="E10" s="182">
        <v>8.8854544395411938</v>
      </c>
      <c r="F10" s="182">
        <v>27.820722831315329</v>
      </c>
      <c r="G10" s="182">
        <v>43.063692388332257</v>
      </c>
      <c r="H10" s="182">
        <v>82.103469256238697</v>
      </c>
      <c r="I10" s="182">
        <v>91.869392555079642</v>
      </c>
      <c r="J10" s="182">
        <v>114.58875565725134</v>
      </c>
      <c r="K10" s="182">
        <v>129.8886748026423</v>
      </c>
      <c r="L10" s="182">
        <v>134.17330931038163</v>
      </c>
      <c r="M10" s="182">
        <v>150.92720760617061</v>
      </c>
      <c r="N10" s="182">
        <v>155.00249430025067</v>
      </c>
      <c r="O10" s="182">
        <v>183.05693604928854</v>
      </c>
      <c r="P10" s="182">
        <v>203.38739690177772</v>
      </c>
      <c r="Q10" s="182">
        <v>219.32887999620414</v>
      </c>
      <c r="R10" s="182">
        <v>221.33073329770519</v>
      </c>
      <c r="S10" s="182">
        <v>235.11187290479481</v>
      </c>
      <c r="T10" s="182">
        <v>256.87221479003415</v>
      </c>
      <c r="U10" s="182">
        <v>274.5515263793223</v>
      </c>
      <c r="V10" s="182">
        <v>299.36440585723545</v>
      </c>
      <c r="W10" s="182">
        <v>310.76532815820798</v>
      </c>
      <c r="X10" s="182">
        <v>306.05529392348552</v>
      </c>
      <c r="Y10" s="182">
        <v>317.68784659637441</v>
      </c>
      <c r="Z10" s="182">
        <v>336.08320888328484</v>
      </c>
      <c r="AA10" s="182">
        <v>359.74335608174709</v>
      </c>
      <c r="AB10" s="180"/>
    </row>
    <row r="11" spans="1:28" x14ac:dyDescent="0.2">
      <c r="A11" s="181" t="s">
        <v>1171</v>
      </c>
      <c r="B11" s="182">
        <v>0</v>
      </c>
      <c r="C11" s="182">
        <v>0</v>
      </c>
      <c r="D11" s="182">
        <v>0</v>
      </c>
      <c r="E11" s="182">
        <v>0</v>
      </c>
      <c r="F11" s="182">
        <v>0</v>
      </c>
      <c r="G11" s="182">
        <v>0</v>
      </c>
      <c r="H11" s="182">
        <v>0</v>
      </c>
      <c r="I11" s="182">
        <v>0</v>
      </c>
      <c r="J11" s="182">
        <v>0</v>
      </c>
      <c r="K11" s="182">
        <v>15.513168797559414</v>
      </c>
      <c r="L11" s="182">
        <v>15.326556057680227</v>
      </c>
      <c r="M11" s="182">
        <v>14.019192507899653</v>
      </c>
      <c r="N11" s="182">
        <v>13.723984092429019</v>
      </c>
      <c r="O11" s="182">
        <v>12.723632770626358</v>
      </c>
      <c r="P11" s="182">
        <v>12.162767551318586</v>
      </c>
      <c r="Q11" s="182">
        <v>11.360702228179221</v>
      </c>
      <c r="R11" s="182">
        <v>10.177930704876006</v>
      </c>
      <c r="S11" s="182">
        <v>9.6656629540041692</v>
      </c>
      <c r="T11" s="182">
        <v>8.0498650399780995</v>
      </c>
      <c r="U11" s="182">
        <v>7.6650341502232395</v>
      </c>
      <c r="V11" s="182">
        <v>7.2359221333404005</v>
      </c>
      <c r="W11" s="182">
        <v>6.9409951941897088</v>
      </c>
      <c r="X11" s="182">
        <v>6.9086401677365572</v>
      </c>
      <c r="Y11" s="182">
        <v>6.7920015597184316</v>
      </c>
      <c r="Z11" s="182">
        <v>6.8726084610172737</v>
      </c>
      <c r="AA11" s="182">
        <v>6.6877663997164287</v>
      </c>
      <c r="AB11" s="180"/>
    </row>
    <row r="12" spans="1:28" s="185" customFormat="1" x14ac:dyDescent="0.2">
      <c r="A12" s="183" t="s">
        <v>1172</v>
      </c>
      <c r="B12" s="184">
        <v>2825.9304556567981</v>
      </c>
      <c r="C12" s="184">
        <v>2930.8032257059158</v>
      </c>
      <c r="D12" s="184">
        <v>2917.234360999108</v>
      </c>
      <c r="E12" s="184">
        <v>2984.3819127526108</v>
      </c>
      <c r="F12" s="184">
        <v>3044.8909088080077</v>
      </c>
      <c r="G12" s="184">
        <v>3023.5333581762247</v>
      </c>
      <c r="H12" s="184">
        <v>3104.0603608972219</v>
      </c>
      <c r="I12" s="184">
        <v>3161.5502756305114</v>
      </c>
      <c r="J12" s="184">
        <v>3200.6316230893749</v>
      </c>
      <c r="K12" s="184">
        <v>3301.4394038428268</v>
      </c>
      <c r="L12" s="184">
        <v>3318.489565462794</v>
      </c>
      <c r="M12" s="184">
        <v>3555.2374070477799</v>
      </c>
      <c r="N12" s="184">
        <v>3522.1001249125511</v>
      </c>
      <c r="O12" s="184">
        <v>3614.879851601313</v>
      </c>
      <c r="P12" s="184">
        <v>3678.0831038033916</v>
      </c>
      <c r="Q12" s="184">
        <v>3807.7101730024701</v>
      </c>
      <c r="R12" s="184">
        <v>3999.4747174278073</v>
      </c>
      <c r="S12" s="184">
        <v>4065.660826768039</v>
      </c>
      <c r="T12" s="184">
        <v>4276.8293420764239</v>
      </c>
      <c r="U12" s="184">
        <v>4084.2006143027761</v>
      </c>
      <c r="V12" s="184">
        <v>4085.9957771497006</v>
      </c>
      <c r="W12" s="184">
        <v>4178.4109077836665</v>
      </c>
      <c r="X12" s="184">
        <v>4274.4853107016379</v>
      </c>
      <c r="Y12" s="184">
        <v>4253.1318764563457</v>
      </c>
      <c r="Z12" s="184">
        <v>4326.9726400069931</v>
      </c>
      <c r="AA12" s="184">
        <v>4263.7679778912025</v>
      </c>
      <c r="AB12" s="180"/>
    </row>
    <row r="13" spans="1:28" x14ac:dyDescent="0.2">
      <c r="A13" s="186" t="s">
        <v>1173</v>
      </c>
      <c r="B13" s="187"/>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8"/>
    </row>
    <row r="14" spans="1:28" x14ac:dyDescent="0.2">
      <c r="A14" s="189" t="s">
        <v>1174</v>
      </c>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1"/>
    </row>
    <row r="15" spans="1:28" ht="24" x14ac:dyDescent="0.2">
      <c r="A15" s="192" t="s">
        <v>1175</v>
      </c>
      <c r="B15" s="193">
        <v>11.709864199131733</v>
      </c>
      <c r="C15" s="193">
        <v>12.230468773543809</v>
      </c>
      <c r="D15" s="193">
        <v>12.727963799214406</v>
      </c>
      <c r="E15" s="193">
        <v>12.753665535608601</v>
      </c>
      <c r="F15" s="193">
        <v>13.161988362036514</v>
      </c>
      <c r="G15" s="193">
        <v>13.112504032793133</v>
      </c>
      <c r="H15" s="193">
        <v>13.654590216701004</v>
      </c>
      <c r="I15" s="193">
        <v>13.658885894347586</v>
      </c>
      <c r="J15" s="193">
        <v>14.226809309610521</v>
      </c>
      <c r="K15" s="193">
        <v>14.622449432605087</v>
      </c>
      <c r="L15" s="193">
        <v>14.508706118547472</v>
      </c>
      <c r="M15" s="193">
        <v>15.277084271664529</v>
      </c>
      <c r="N15" s="193">
        <v>15.284517356612687</v>
      </c>
      <c r="O15" s="193">
        <v>15.376558304879671</v>
      </c>
      <c r="P15" s="193">
        <v>15.959774583232877</v>
      </c>
      <c r="Q15" s="193">
        <v>15.926916789934818</v>
      </c>
      <c r="R15" s="193">
        <v>16.335787908469804</v>
      </c>
      <c r="S15" s="193">
        <v>16.64490567465889</v>
      </c>
      <c r="T15" s="193">
        <v>17.238892783601681</v>
      </c>
      <c r="U15" s="193">
        <v>17.1377801288629</v>
      </c>
      <c r="V15" s="193">
        <v>16.912882612281987</v>
      </c>
      <c r="W15" s="193">
        <v>16.897868087053229</v>
      </c>
      <c r="X15" s="193">
        <v>16.576461971847863</v>
      </c>
      <c r="Y15" s="193">
        <v>16.207750444202379</v>
      </c>
      <c r="Z15" s="193">
        <v>16.104047455537703</v>
      </c>
      <c r="AA15" s="193">
        <v>15.955358250925736</v>
      </c>
    </row>
    <row r="16" spans="1:28" ht="24" x14ac:dyDescent="0.2">
      <c r="A16" s="194" t="s">
        <v>1176</v>
      </c>
      <c r="B16" s="195">
        <v>7.6880092558846309</v>
      </c>
      <c r="C16" s="195">
        <v>8.8596139702600798</v>
      </c>
      <c r="D16" s="195">
        <v>9.3353222822639967</v>
      </c>
      <c r="E16" s="195">
        <v>10.021528391749213</v>
      </c>
      <c r="F16" s="195">
        <v>10.796411606995235</v>
      </c>
      <c r="G16" s="195">
        <v>11.403597511743977</v>
      </c>
      <c r="H16" s="195">
        <v>11.977541003419756</v>
      </c>
      <c r="I16" s="195">
        <v>12.488286446098398</v>
      </c>
      <c r="J16" s="195">
        <v>13.14098585825724</v>
      </c>
      <c r="K16" s="195">
        <v>13.915621159958949</v>
      </c>
      <c r="L16" s="195">
        <v>15.453657808808936</v>
      </c>
      <c r="M16" s="195">
        <v>17.747755875371055</v>
      </c>
      <c r="N16" s="195">
        <v>19.551670895626383</v>
      </c>
      <c r="O16" s="195">
        <v>21.279628798688645</v>
      </c>
      <c r="P16" s="195">
        <v>22.938460951915435</v>
      </c>
      <c r="Q16" s="195">
        <v>25.261408234789357</v>
      </c>
      <c r="R16" s="195">
        <v>27.843106742695824</v>
      </c>
      <c r="S16" s="195">
        <v>30.770413830481058</v>
      </c>
      <c r="T16" s="195">
        <v>33.236614913530282</v>
      </c>
      <c r="U16" s="195">
        <v>34.207282420889783</v>
      </c>
      <c r="V16" s="195">
        <v>34.667750614578701</v>
      </c>
      <c r="W16" s="195">
        <v>35.489780169766973</v>
      </c>
      <c r="X16" s="195">
        <v>35.47031853933975</v>
      </c>
      <c r="Y16" s="195">
        <v>34.94286237565327</v>
      </c>
      <c r="Z16" s="195">
        <v>35.003293630449249</v>
      </c>
      <c r="AA16" s="195">
        <v>34.557503173637755</v>
      </c>
    </row>
    <row r="17" spans="1:27" x14ac:dyDescent="0.2">
      <c r="A17" s="189" t="s">
        <v>1177</v>
      </c>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1"/>
    </row>
    <row r="18" spans="1:27" x14ac:dyDescent="0.2">
      <c r="A18" s="192" t="s">
        <v>1178</v>
      </c>
      <c r="B18" s="193">
        <v>12.230886555180627</v>
      </c>
      <c r="C18" s="193">
        <v>12.711409178602038</v>
      </c>
      <c r="D18" s="193">
        <v>13.333670198059712</v>
      </c>
      <c r="E18" s="193">
        <v>13.929752906393698</v>
      </c>
      <c r="F18" s="193">
        <v>14.523499084967231</v>
      </c>
      <c r="G18" s="193">
        <v>14.857129129159336</v>
      </c>
      <c r="H18" s="193">
        <v>15.731086428351555</v>
      </c>
      <c r="I18" s="193">
        <v>15.768796438434018</v>
      </c>
      <c r="J18" s="193">
        <v>16.474467686800029</v>
      </c>
      <c r="K18" s="193">
        <v>16.48253174243882</v>
      </c>
      <c r="L18" s="193">
        <v>16.567375917389196</v>
      </c>
      <c r="M18" s="193">
        <v>17.417517992771355</v>
      </c>
      <c r="N18" s="193">
        <v>17.787996142448407</v>
      </c>
      <c r="O18" s="193">
        <v>18.330546822782321</v>
      </c>
      <c r="P18" s="193">
        <v>18.899563931515807</v>
      </c>
      <c r="Q18" s="193">
        <v>19.511882302343192</v>
      </c>
      <c r="R18" s="193">
        <v>20.265231476736375</v>
      </c>
      <c r="S18" s="193">
        <v>20.721166914295623</v>
      </c>
      <c r="T18" s="193">
        <v>21.753337078825485</v>
      </c>
      <c r="U18" s="193">
        <v>21.993705434102843</v>
      </c>
      <c r="V18" s="193">
        <v>22.505722441156067</v>
      </c>
      <c r="W18" s="193">
        <v>22.708101977620849</v>
      </c>
      <c r="X18" s="193">
        <v>22.617399522319648</v>
      </c>
      <c r="Y18" s="193">
        <v>22.182837451064987</v>
      </c>
      <c r="Z18" s="193">
        <v>22.09295236502188</v>
      </c>
      <c r="AA18" s="193">
        <v>21.707967538573133</v>
      </c>
    </row>
    <row r="19" spans="1:27" x14ac:dyDescent="0.2">
      <c r="A19" s="181" t="s">
        <v>1179</v>
      </c>
      <c r="B19" s="196">
        <v>40.870901425363485</v>
      </c>
      <c r="C19" s="196">
        <v>42.465895570569387</v>
      </c>
      <c r="D19" s="196">
        <v>44.683208754577549</v>
      </c>
      <c r="E19" s="196">
        <v>46.01708423531354</v>
      </c>
      <c r="F19" s="196">
        <v>49.126157044756781</v>
      </c>
      <c r="G19" s="196">
        <v>50.320172307756309</v>
      </c>
      <c r="H19" s="196">
        <v>53.422071967691473</v>
      </c>
      <c r="I19" s="196">
        <v>54.657630909280869</v>
      </c>
      <c r="J19" s="196">
        <v>58.089859800325556</v>
      </c>
      <c r="K19" s="196">
        <v>61.67365154046076</v>
      </c>
      <c r="L19" s="196">
        <v>65.868412292143475</v>
      </c>
      <c r="M19" s="196">
        <v>72.626619044850173</v>
      </c>
      <c r="N19" s="196">
        <v>77.253305656812572</v>
      </c>
      <c r="O19" s="196">
        <v>82.382744354623981</v>
      </c>
      <c r="P19" s="196">
        <v>89.043384378555956</v>
      </c>
      <c r="Q19" s="196">
        <v>95.307226520029914</v>
      </c>
      <c r="R19" s="196">
        <v>103.30318473714227</v>
      </c>
      <c r="S19" s="196">
        <v>110.27680654467716</v>
      </c>
      <c r="T19" s="196">
        <v>118.44127511865945</v>
      </c>
      <c r="U19" s="196">
        <v>120.76099642892713</v>
      </c>
      <c r="V19" s="196">
        <v>121.45116685828113</v>
      </c>
      <c r="W19" s="196">
        <v>123.07210262774549</v>
      </c>
      <c r="X19" s="196">
        <v>122.63841043178358</v>
      </c>
      <c r="Y19" s="196">
        <v>120.08079039569918</v>
      </c>
      <c r="Z19" s="196">
        <v>118.24244897808181</v>
      </c>
      <c r="AA19" s="196">
        <v>116.99562301997791</v>
      </c>
    </row>
    <row r="20" spans="1:27" x14ac:dyDescent="0.2">
      <c r="A20" s="181" t="s">
        <v>1180</v>
      </c>
      <c r="B20" s="196">
        <v>13.006233434531481</v>
      </c>
      <c r="C20" s="196">
        <v>13.834527419670428</v>
      </c>
      <c r="D20" s="196">
        <v>14.245744873709654</v>
      </c>
      <c r="E20" s="196">
        <v>14.336743072081253</v>
      </c>
      <c r="F20" s="196">
        <v>14.2630399237162</v>
      </c>
      <c r="G20" s="196">
        <v>14.356811341599615</v>
      </c>
      <c r="H20" s="196">
        <v>14.222528633674214</v>
      </c>
      <c r="I20" s="196">
        <v>13.996992461965128</v>
      </c>
      <c r="J20" s="196">
        <v>13.557876127386491</v>
      </c>
      <c r="K20" s="196">
        <v>13.212241433111652</v>
      </c>
      <c r="L20" s="196">
        <v>12.901594311341094</v>
      </c>
      <c r="M20" s="196">
        <v>12.018089648496026</v>
      </c>
      <c r="N20" s="196">
        <v>11.688597485855407</v>
      </c>
      <c r="O20" s="196">
        <v>11.013893876804513</v>
      </c>
      <c r="P20" s="196">
        <v>10.221652888570983</v>
      </c>
      <c r="Q20" s="196">
        <v>9.5711206630276529</v>
      </c>
      <c r="R20" s="196">
        <v>8.5842776413104733</v>
      </c>
      <c r="S20" s="196">
        <v>7.7256984993573354</v>
      </c>
      <c r="T20" s="196">
        <v>6.4745841594862918</v>
      </c>
      <c r="U20" s="196">
        <v>6.1130259721907656</v>
      </c>
      <c r="V20" s="196">
        <v>5.95503156580099</v>
      </c>
      <c r="W20" s="196">
        <v>5.6989011903873257</v>
      </c>
      <c r="X20" s="196">
        <v>5.6639387277734787</v>
      </c>
      <c r="Y20" s="196">
        <v>5.5575620941905504</v>
      </c>
      <c r="Z20" s="196">
        <v>5.5410353113965591</v>
      </c>
      <c r="AA20" s="196">
        <v>5.4703150840907853</v>
      </c>
    </row>
    <row r="21" spans="1:27" x14ac:dyDescent="0.2">
      <c r="A21" s="181" t="s">
        <v>1181</v>
      </c>
      <c r="B21" s="196">
        <v>41.91422246256419</v>
      </c>
      <c r="C21" s="196">
        <v>43.432214187218541</v>
      </c>
      <c r="D21" s="196">
        <v>45.660782071502823</v>
      </c>
      <c r="E21" s="196">
        <v>47.332910094176889</v>
      </c>
      <c r="F21" s="196">
        <v>49.114271741698204</v>
      </c>
      <c r="G21" s="196">
        <v>50.343918345903141</v>
      </c>
      <c r="H21" s="196">
        <v>52.758416764999964</v>
      </c>
      <c r="I21" s="196">
        <v>53.32542807680219</v>
      </c>
      <c r="J21" s="196">
        <v>54.723757830128932</v>
      </c>
      <c r="K21" s="196">
        <v>55.444947212004422</v>
      </c>
      <c r="L21" s="196">
        <v>56.611499074453867</v>
      </c>
      <c r="M21" s="196">
        <v>59.939444859623777</v>
      </c>
      <c r="N21" s="196">
        <v>61.59818180796821</v>
      </c>
      <c r="O21" s="196">
        <v>63.663299707115399</v>
      </c>
      <c r="P21" s="196">
        <v>65.962847804775137</v>
      </c>
      <c r="Q21" s="196">
        <v>68.587751783797685</v>
      </c>
      <c r="R21" s="196">
        <v>71.73046074847376</v>
      </c>
      <c r="S21" s="196">
        <v>73.95955158481874</v>
      </c>
      <c r="T21" s="196">
        <v>77.676121643657581</v>
      </c>
      <c r="U21" s="196">
        <v>78.448531346580822</v>
      </c>
      <c r="V21" s="196">
        <v>79.36983187361524</v>
      </c>
      <c r="W21" s="196">
        <v>80.208684521399618</v>
      </c>
      <c r="X21" s="196">
        <v>79.898295329252392</v>
      </c>
      <c r="Y21" s="196">
        <v>78.328436440585847</v>
      </c>
      <c r="Z21" s="196">
        <v>77.777863823267452</v>
      </c>
      <c r="AA21" s="196">
        <v>76.562884911775541</v>
      </c>
    </row>
    <row r="22" spans="1:27" x14ac:dyDescent="0.2">
      <c r="A22" s="194" t="s">
        <v>1182</v>
      </c>
      <c r="B22" s="195">
        <v>30.754366594627964</v>
      </c>
      <c r="C22" s="195">
        <v>31.82150725207325</v>
      </c>
      <c r="D22" s="195">
        <v>33.02392808020327</v>
      </c>
      <c r="E22" s="195">
        <v>35.906359781607605</v>
      </c>
      <c r="F22" s="195">
        <v>37.879069375825893</v>
      </c>
      <c r="G22" s="195">
        <v>38.998188013946368</v>
      </c>
      <c r="H22" s="195">
        <v>42.729902785995328</v>
      </c>
      <c r="I22" s="195">
        <v>42.714223268426643</v>
      </c>
      <c r="J22" s="195">
        <v>46.233383193945073</v>
      </c>
      <c r="K22" s="195">
        <v>45.205384574567169</v>
      </c>
      <c r="L22" s="195">
        <v>44.675867591252263</v>
      </c>
      <c r="M22" s="195">
        <v>48.694868872490332</v>
      </c>
      <c r="N22" s="195">
        <v>49.940656370709412</v>
      </c>
      <c r="O22" s="195">
        <v>51.967347310814283</v>
      </c>
      <c r="P22" s="195">
        <v>53.707736866736568</v>
      </c>
      <c r="Q22" s="195">
        <v>55.920452145150449</v>
      </c>
      <c r="R22" s="195">
        <v>58.554586706035785</v>
      </c>
      <c r="S22" s="195">
        <v>59.606495977778017</v>
      </c>
      <c r="T22" s="195">
        <v>63.9473789902273</v>
      </c>
      <c r="U22" s="195">
        <v>64.865971505136571</v>
      </c>
      <c r="V22" s="195">
        <v>67.83153570122559</v>
      </c>
      <c r="W22" s="195">
        <v>68.639246100394814</v>
      </c>
      <c r="X22" s="195">
        <v>68.319288434214357</v>
      </c>
      <c r="Y22" s="195">
        <v>67.165853530921879</v>
      </c>
      <c r="Z22" s="195">
        <v>67.962972212155535</v>
      </c>
      <c r="AA22" s="195">
        <v>66.135075868709905</v>
      </c>
    </row>
    <row r="23" spans="1:27" x14ac:dyDescent="0.2">
      <c r="A23" s="189" t="s">
        <v>1183</v>
      </c>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1"/>
    </row>
    <row r="24" spans="1:27" x14ac:dyDescent="0.2">
      <c r="A24" s="192" t="s">
        <v>1184</v>
      </c>
      <c r="B24" s="193">
        <v>956.86984727100003</v>
      </c>
      <c r="C24" s="193">
        <v>960.97338267840007</v>
      </c>
      <c r="D24" s="193">
        <v>975.52228094099996</v>
      </c>
      <c r="E24" s="193">
        <v>992.6825199174001</v>
      </c>
      <c r="F24" s="193">
        <v>1013.9462943011999</v>
      </c>
      <c r="G24" s="193">
        <v>1019.1689757288001</v>
      </c>
      <c r="H24" s="193">
        <v>1011.7080022608</v>
      </c>
      <c r="I24" s="193">
        <v>1012.8271482810001</v>
      </c>
      <c r="J24" s="193">
        <v>1027.3760465436001</v>
      </c>
      <c r="K24" s="193">
        <v>1137.4254051966002</v>
      </c>
      <c r="L24" s="193">
        <v>1060.9504271496</v>
      </c>
      <c r="M24" s="193">
        <v>1079.6028608196</v>
      </c>
      <c r="N24" s="193">
        <v>1069.5305466377999</v>
      </c>
      <c r="O24" s="193">
        <v>1087.436882961</v>
      </c>
      <c r="P24" s="193">
        <v>1086.3177369408002</v>
      </c>
      <c r="Q24" s="193">
        <v>1107.2084626512001</v>
      </c>
      <c r="R24" s="193">
        <v>1164.6579583548</v>
      </c>
      <c r="S24" s="193">
        <v>1230.6875735466001</v>
      </c>
      <c r="T24" s="193">
        <v>1331.0376666912</v>
      </c>
      <c r="U24" s="193">
        <v>1363.8659499504001</v>
      </c>
      <c r="V24" s="193">
        <v>1431.7608085092002</v>
      </c>
      <c r="W24" s="193">
        <v>1583.9646672563999</v>
      </c>
      <c r="X24" s="193">
        <v>1696.9984152966001</v>
      </c>
      <c r="Y24" s="193">
        <v>1730.1997472291998</v>
      </c>
      <c r="Z24" s="193">
        <v>1877.9270218956001</v>
      </c>
      <c r="AA24" s="193">
        <v>1968.2048008584004</v>
      </c>
    </row>
    <row r="25" spans="1:27" x14ac:dyDescent="0.2">
      <c r="A25" s="194" t="s">
        <v>1185</v>
      </c>
      <c r="B25" s="195">
        <v>85.673473360505753</v>
      </c>
      <c r="C25" s="195">
        <v>90.860409569779975</v>
      </c>
      <c r="D25" s="195">
        <v>93.557619928566453</v>
      </c>
      <c r="E25" s="195">
        <v>95.921838572959089</v>
      </c>
      <c r="F25" s="195">
        <v>99.143191470379264</v>
      </c>
      <c r="G25" s="195">
        <v>101.14874388612458</v>
      </c>
      <c r="H25" s="195">
        <v>105.48044455620929</v>
      </c>
      <c r="I25" s="195">
        <v>106.60200232521689</v>
      </c>
      <c r="J25" s="195">
        <v>109.77265427640681</v>
      </c>
      <c r="K25" s="195">
        <v>111.88268915460826</v>
      </c>
      <c r="L25" s="195">
        <v>114.59536575510118</v>
      </c>
      <c r="M25" s="195">
        <v>121.17053458816149</v>
      </c>
      <c r="N25" s="195">
        <v>124.42596176427361</v>
      </c>
      <c r="O25" s="195">
        <v>127.96354216445035</v>
      </c>
      <c r="P25" s="195">
        <v>134.41337195013509</v>
      </c>
      <c r="Q25" s="195">
        <v>139.69335583400709</v>
      </c>
      <c r="R25" s="195">
        <v>146.60313692523312</v>
      </c>
      <c r="S25" s="195">
        <v>153.62784233369095</v>
      </c>
      <c r="T25" s="195">
        <v>161.97769427579303</v>
      </c>
      <c r="U25" s="195">
        <v>163.71523965028609</v>
      </c>
      <c r="V25" s="195">
        <v>164.93585884158961</v>
      </c>
      <c r="W25" s="195">
        <v>166.92477955366201</v>
      </c>
      <c r="X25" s="195">
        <v>166.30446437117888</v>
      </c>
      <c r="Y25" s="195">
        <v>163.84665064031768</v>
      </c>
      <c r="Z25" s="195">
        <v>163.9083343629226</v>
      </c>
      <c r="AA25" s="195">
        <v>161.55940802179492</v>
      </c>
    </row>
    <row r="26" spans="1:27" x14ac:dyDescent="0.2">
      <c r="A26" s="186" t="s">
        <v>1186</v>
      </c>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c r="Z26" s="187"/>
      <c r="AA26" s="188"/>
    </row>
    <row r="27" spans="1:27" x14ac:dyDescent="0.2">
      <c r="A27" s="197" t="s">
        <v>1187</v>
      </c>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1"/>
    </row>
    <row r="28" spans="1:27" s="200" customFormat="1" ht="24" x14ac:dyDescent="0.2">
      <c r="A28" s="198" t="s">
        <v>1188</v>
      </c>
      <c r="B28" s="199">
        <v>5.0496610141393871E-3</v>
      </c>
      <c r="C28" s="199">
        <v>5.6798145708326156E-3</v>
      </c>
      <c r="D28" s="199">
        <v>5.7279590887411519E-3</v>
      </c>
      <c r="E28" s="199">
        <v>5.9266254854743817E-3</v>
      </c>
      <c r="F28" s="199">
        <v>6.150068148240968E-3</v>
      </c>
      <c r="G28" s="199">
        <v>6.257384648113865E-3</v>
      </c>
      <c r="H28" s="199">
        <v>6.6272918936141918E-3</v>
      </c>
      <c r="I28" s="199">
        <v>6.7345957314948243E-3</v>
      </c>
      <c r="J28" s="199">
        <v>7.0244370000229093E-3</v>
      </c>
      <c r="K28" s="199">
        <v>7.1444564265879737E-3</v>
      </c>
      <c r="L28" s="199">
        <v>7.2970763727473005E-3</v>
      </c>
      <c r="M28" s="199">
        <v>7.9343630918288239E-3</v>
      </c>
      <c r="N28" s="199">
        <v>8.151729325194753E-3</v>
      </c>
      <c r="O28" s="199">
        <v>8.4104599651657532E-3</v>
      </c>
      <c r="P28" s="199">
        <v>8.9468024199627939E-3</v>
      </c>
      <c r="Q28" s="199">
        <v>9.381219229166916E-3</v>
      </c>
      <c r="R28" s="199">
        <v>9.9543758856953882E-3</v>
      </c>
      <c r="S28" s="199">
        <v>1.0543858673729525E-2</v>
      </c>
      <c r="T28" s="199">
        <v>1.1325231271791565E-2</v>
      </c>
      <c r="U28" s="199">
        <v>1.1445905848526314E-2</v>
      </c>
      <c r="V28" s="199">
        <v>1.161155927279949E-2</v>
      </c>
      <c r="W28" s="199">
        <v>1.1823580218513166E-2</v>
      </c>
      <c r="X28" s="199">
        <v>1.1765380688969145E-2</v>
      </c>
      <c r="Y28" s="199">
        <v>1.1566411900996363E-2</v>
      </c>
      <c r="Z28" s="199">
        <v>1.17042568720034E-2</v>
      </c>
      <c r="AA28" s="199">
        <v>1.1389996211173908E-2</v>
      </c>
    </row>
    <row r="29" spans="1:27" s="200" customFormat="1" ht="24" x14ac:dyDescent="0.2">
      <c r="A29" s="201" t="s">
        <v>1189</v>
      </c>
      <c r="B29" s="202">
        <v>0.28640946475428186</v>
      </c>
      <c r="C29" s="202">
        <v>0.30054453577971457</v>
      </c>
      <c r="D29" s="202">
        <v>0.30476617180659138</v>
      </c>
      <c r="E29" s="202">
        <v>0.30796203308504749</v>
      </c>
      <c r="F29" s="202">
        <v>0.31289652398166545</v>
      </c>
      <c r="G29" s="202">
        <v>0.31516328742522037</v>
      </c>
      <c r="H29" s="202">
        <v>0.32468666752443487</v>
      </c>
      <c r="I29" s="202">
        <v>0.32386530558695237</v>
      </c>
      <c r="J29" s="202">
        <v>0.33574116556480349</v>
      </c>
      <c r="K29" s="202">
        <v>0.33687533695439875</v>
      </c>
      <c r="L29" s="202">
        <v>0.32996766197112354</v>
      </c>
      <c r="M29" s="202">
        <v>0.35515097152303904</v>
      </c>
      <c r="N29" s="202">
        <v>0.35765796669403371</v>
      </c>
      <c r="O29" s="202">
        <v>0.36200309545847759</v>
      </c>
      <c r="P29" s="202">
        <v>0.38066679426925443</v>
      </c>
      <c r="Q29" s="202">
        <v>0.3803826031967204</v>
      </c>
      <c r="R29" s="202">
        <v>0.39358226380496786</v>
      </c>
      <c r="S29" s="202">
        <v>0.40874283064158207</v>
      </c>
      <c r="T29" s="202">
        <v>0.42675719303231019</v>
      </c>
      <c r="U29" s="202">
        <v>0.42265663842861018</v>
      </c>
      <c r="V29" s="202">
        <v>0.41918332007225501</v>
      </c>
      <c r="W29" s="202">
        <v>0.42087514959126132</v>
      </c>
      <c r="X29" s="202">
        <v>0.41173144951152602</v>
      </c>
      <c r="Y29" s="202">
        <v>0.40172116591428014</v>
      </c>
      <c r="Z29" s="202">
        <v>0.40186996178952017</v>
      </c>
      <c r="AA29" s="202">
        <v>0.39510677409267625</v>
      </c>
    </row>
    <row r="30" spans="1:27" s="200" customFormat="1" ht="24" x14ac:dyDescent="0.2">
      <c r="A30" s="201" t="s">
        <v>1190</v>
      </c>
      <c r="B30" s="202">
        <v>138.60000345367624</v>
      </c>
      <c r="C30" s="202">
        <v>138.06044849257509</v>
      </c>
      <c r="D30" s="202">
        <v>108.34250362032739</v>
      </c>
      <c r="E30" s="202">
        <v>134.31504885166339</v>
      </c>
      <c r="F30" s="202">
        <v>135.29075512038685</v>
      </c>
      <c r="G30" s="202">
        <v>125.55390917309502</v>
      </c>
      <c r="H30" s="202">
        <v>157.8781563881557</v>
      </c>
      <c r="I30" s="202">
        <v>211.17412278537824</v>
      </c>
      <c r="J30" s="202">
        <v>191.87475884505696</v>
      </c>
      <c r="K30" s="202">
        <v>188.1048339786407</v>
      </c>
      <c r="L30" s="202">
        <v>266.61803494605084</v>
      </c>
      <c r="M30" s="202">
        <v>314.63875451408148</v>
      </c>
      <c r="N30" s="202">
        <v>266.23258760676299</v>
      </c>
      <c r="O30" s="202">
        <v>294.47732894004156</v>
      </c>
      <c r="P30" s="202">
        <v>321.93068790963821</v>
      </c>
      <c r="Q30" s="202">
        <v>366.66514364191488</v>
      </c>
      <c r="R30" s="202">
        <v>379.51584717539248</v>
      </c>
      <c r="S30" s="202">
        <v>357.61900164519648</v>
      </c>
      <c r="T30" s="202">
        <v>356.6930887270816</v>
      </c>
      <c r="U30" s="202">
        <v>209.51376116960321</v>
      </c>
      <c r="V30" s="202">
        <v>190.97559783672807</v>
      </c>
      <c r="W30" s="202">
        <v>168.55939142016183</v>
      </c>
      <c r="X30" s="202">
        <v>120.5740039365502</v>
      </c>
      <c r="Y30" s="202">
        <v>79.364417117771197</v>
      </c>
      <c r="Z30" s="202">
        <v>75.754274931099616</v>
      </c>
      <c r="AA30" s="202">
        <v>5.1252956250253341</v>
      </c>
    </row>
    <row r="31" spans="1:27" s="200" customFormat="1" ht="24" x14ac:dyDescent="0.2">
      <c r="A31" s="201" t="s">
        <v>1191</v>
      </c>
      <c r="B31" s="202">
        <v>2.0520148297900769</v>
      </c>
      <c r="C31" s="202">
        <v>2.0440265559511341</v>
      </c>
      <c r="D31" s="202">
        <v>1.6040434241388906</v>
      </c>
      <c r="E31" s="202">
        <v>1.9885747852792091</v>
      </c>
      <c r="F31" s="202">
        <v>2.0030204106980345</v>
      </c>
      <c r="G31" s="202">
        <v>1.8588634714386345</v>
      </c>
      <c r="H31" s="202">
        <v>2.3374336950625776</v>
      </c>
      <c r="I31" s="202">
        <v>3.1264965427532458</v>
      </c>
      <c r="J31" s="202">
        <v>2.8407636421455535</v>
      </c>
      <c r="K31" s="202">
        <v>2.7849487681173137</v>
      </c>
      <c r="L31" s="202">
        <v>3.947360374934203</v>
      </c>
      <c r="M31" s="202">
        <v>4.8933084065637669</v>
      </c>
      <c r="N31" s="202">
        <v>4.3604493243685321</v>
      </c>
      <c r="O31" s="202">
        <v>5.093648230009836</v>
      </c>
      <c r="P31" s="202">
        <v>5.899507061331156</v>
      </c>
      <c r="Q31" s="202">
        <v>7.1439162382479076</v>
      </c>
      <c r="R31" s="202">
        <v>7.8931064119734353</v>
      </c>
      <c r="S31" s="202">
        <v>7.9757369595457934</v>
      </c>
      <c r="T31" s="202">
        <v>8.5754266865115465</v>
      </c>
      <c r="U31" s="202">
        <v>5.4630273862271457</v>
      </c>
      <c r="V31" s="202">
        <v>5.4397151693912642</v>
      </c>
      <c r="W31" s="202">
        <v>6.7420762945365462</v>
      </c>
      <c r="X31" s="202">
        <v>3.6470975188732</v>
      </c>
      <c r="Y31" s="202">
        <v>3.4118529220894245</v>
      </c>
      <c r="Z31" s="202">
        <v>2.7436579048528782</v>
      </c>
      <c r="AA31" s="202">
        <v>1.673219520319122</v>
      </c>
    </row>
    <row r="32" spans="1:27" s="200" customFormat="1" ht="24" x14ac:dyDescent="0.2">
      <c r="A32" s="201" t="s">
        <v>1192</v>
      </c>
      <c r="B32" s="202">
        <v>0</v>
      </c>
      <c r="C32" s="202">
        <v>0</v>
      </c>
      <c r="D32" s="202">
        <v>0</v>
      </c>
      <c r="E32" s="202">
        <v>0</v>
      </c>
      <c r="F32" s="202">
        <v>0</v>
      </c>
      <c r="G32" s="202">
        <v>0</v>
      </c>
      <c r="H32" s="202">
        <v>0</v>
      </c>
      <c r="I32" s="202">
        <v>0</v>
      </c>
      <c r="J32" s="202">
        <v>0</v>
      </c>
      <c r="K32" s="202">
        <v>0</v>
      </c>
      <c r="L32" s="202">
        <v>0</v>
      </c>
      <c r="M32" s="202">
        <v>1.0214223479431337</v>
      </c>
      <c r="N32" s="202">
        <v>1.8203881778672502</v>
      </c>
      <c r="O32" s="202">
        <v>3.1897230068602465</v>
      </c>
      <c r="P32" s="202">
        <v>4.9258193873159382</v>
      </c>
      <c r="Q32" s="202">
        <v>7.4560553835032097</v>
      </c>
      <c r="R32" s="202">
        <v>9.8855759098304201</v>
      </c>
      <c r="S32" s="202">
        <v>11.65390918873601</v>
      </c>
      <c r="T32" s="202">
        <v>14.320180512638915</v>
      </c>
      <c r="U32" s="202">
        <v>10.263102213237847</v>
      </c>
      <c r="V32" s="202">
        <v>11.354785308460201</v>
      </c>
      <c r="W32" s="202">
        <v>12.781990665486424</v>
      </c>
      <c r="X32" s="202">
        <v>8.9115153939809701</v>
      </c>
      <c r="Y32" s="202">
        <v>9.838628191277202</v>
      </c>
      <c r="Z32" s="202">
        <v>5.8445943560982645</v>
      </c>
      <c r="AA32" s="202">
        <v>10.770826257676665</v>
      </c>
    </row>
    <row r="33" spans="1:27" s="200" customFormat="1" ht="24" x14ac:dyDescent="0.2">
      <c r="A33" s="201" t="s">
        <v>1193</v>
      </c>
      <c r="B33" s="202">
        <v>0</v>
      </c>
      <c r="C33" s="202">
        <v>0</v>
      </c>
      <c r="D33" s="202">
        <v>0</v>
      </c>
      <c r="E33" s="202">
        <v>0</v>
      </c>
      <c r="F33" s="202">
        <v>0</v>
      </c>
      <c r="G33" s="202">
        <v>0</v>
      </c>
      <c r="H33" s="202">
        <v>0</v>
      </c>
      <c r="I33" s="202">
        <v>0</v>
      </c>
      <c r="J33" s="202">
        <v>0</v>
      </c>
      <c r="K33" s="202">
        <v>0</v>
      </c>
      <c r="L33" s="202">
        <v>0</v>
      </c>
      <c r="M33" s="202">
        <v>0.56523478941253302</v>
      </c>
      <c r="N33" s="202">
        <v>1.0073665711719331</v>
      </c>
      <c r="O33" s="202">
        <v>1.7651292001762031</v>
      </c>
      <c r="P33" s="202">
        <v>2.7258503690274711</v>
      </c>
      <c r="Q33" s="202">
        <v>4.1260325888006237</v>
      </c>
      <c r="R33" s="202">
        <v>5.4704808729382659</v>
      </c>
      <c r="S33" s="202">
        <v>6.4490412995102364</v>
      </c>
      <c r="T33" s="202">
        <v>7.9245027609886947</v>
      </c>
      <c r="U33" s="202">
        <v>5.6793964121702993</v>
      </c>
      <c r="V33" s="202">
        <v>6.2835121001379797</v>
      </c>
      <c r="W33" s="202">
        <v>7.0732991270731578</v>
      </c>
      <c r="X33" s="202">
        <v>10.11591730353198</v>
      </c>
      <c r="Y33" s="202">
        <v>10.671899840559417</v>
      </c>
      <c r="Z33" s="202">
        <v>15.721384170071302</v>
      </c>
      <c r="AA33" s="202">
        <v>9.0077069019788123</v>
      </c>
    </row>
    <row r="34" spans="1:27" s="200" customFormat="1" x14ac:dyDescent="0.2">
      <c r="A34" s="203" t="s">
        <v>1194</v>
      </c>
      <c r="B34" s="204">
        <v>0.72250288509150162</v>
      </c>
      <c r="C34" s="204">
        <v>0.63563769944826898</v>
      </c>
      <c r="D34" s="204">
        <v>0.54086704977344691</v>
      </c>
      <c r="E34" s="204">
        <v>0.65236722301793315</v>
      </c>
      <c r="F34" s="204">
        <v>0.61536279322808618</v>
      </c>
      <c r="G34" s="204">
        <v>0.53098790591620659</v>
      </c>
      <c r="H34" s="204">
        <v>0.58939386622576606</v>
      </c>
      <c r="I34" s="204">
        <v>0.7385556226419242</v>
      </c>
      <c r="J34" s="204">
        <v>0.74264699466799222</v>
      </c>
      <c r="K34" s="204">
        <v>0.74374509567608549</v>
      </c>
      <c r="L34" s="204">
        <v>1.0153469068382333</v>
      </c>
      <c r="M34" s="204">
        <v>1.2901240945143531</v>
      </c>
      <c r="N34" s="204">
        <v>1.0198167720367168</v>
      </c>
      <c r="O34" s="204">
        <v>1.1774081665302516</v>
      </c>
      <c r="P34" s="204">
        <v>1.3835346913200499</v>
      </c>
      <c r="Q34" s="204">
        <v>1.6248204691895689</v>
      </c>
      <c r="R34" s="204">
        <v>1.8526458147945712</v>
      </c>
      <c r="S34" s="204">
        <v>1.8824054795979921</v>
      </c>
      <c r="T34" s="204">
        <v>1.8630726774697017</v>
      </c>
      <c r="U34" s="204">
        <v>1.0493878876482465</v>
      </c>
      <c r="V34" s="204">
        <v>0.97211539769300481</v>
      </c>
      <c r="W34" s="204">
        <v>0.97598316040847299</v>
      </c>
      <c r="X34" s="204">
        <v>0.97519608865057517</v>
      </c>
      <c r="Y34" s="204">
        <v>0.97370572094207941</v>
      </c>
      <c r="Z34" s="204">
        <v>0.98068652755207764</v>
      </c>
      <c r="AA34" s="204">
        <v>0.98156274720045289</v>
      </c>
    </row>
    <row r="35" spans="1:27" s="200" customFormat="1" x14ac:dyDescent="0.2">
      <c r="A35" s="197" t="s">
        <v>1195</v>
      </c>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1"/>
    </row>
    <row r="36" spans="1:27" s="200" customFormat="1" x14ac:dyDescent="0.2">
      <c r="A36" s="198" t="s">
        <v>1196</v>
      </c>
      <c r="B36" s="199">
        <v>4.330798961678247E-2</v>
      </c>
      <c r="C36" s="205">
        <v>0.13728531043110598</v>
      </c>
      <c r="D36" s="205">
        <v>0.47137468001724925</v>
      </c>
      <c r="E36" s="205">
        <v>0.49387689643050797</v>
      </c>
      <c r="F36" s="205">
        <v>0.77761825741382562</v>
      </c>
      <c r="G36" s="205">
        <v>1.4780049214529274</v>
      </c>
      <c r="H36" s="205">
        <v>1.6479004234368237</v>
      </c>
      <c r="I36" s="205">
        <v>3.7000210372824012</v>
      </c>
      <c r="J36" s="205">
        <v>5.9636706162018704</v>
      </c>
      <c r="K36" s="205">
        <v>12.611837880778577</v>
      </c>
      <c r="L36" s="205">
        <v>31.386815151934716</v>
      </c>
      <c r="M36" s="205">
        <v>44.185961690645783</v>
      </c>
      <c r="N36" s="205">
        <v>50.996910702739655</v>
      </c>
      <c r="O36" s="205">
        <v>50.432385517378776</v>
      </c>
      <c r="P36" s="205">
        <v>48.098074852126565</v>
      </c>
      <c r="Q36" s="205">
        <v>50.005051601257883</v>
      </c>
      <c r="R36" s="205">
        <v>61.128187015605143</v>
      </c>
      <c r="S36" s="205">
        <v>62.081817241509555</v>
      </c>
      <c r="T36" s="205">
        <v>64.705097568337976</v>
      </c>
      <c r="U36" s="205">
        <v>53.987581280428294</v>
      </c>
      <c r="V36" s="205">
        <v>50.563216755885122</v>
      </c>
      <c r="W36" s="205">
        <v>47.173141181956112</v>
      </c>
      <c r="X36" s="205">
        <v>47.007556306009285</v>
      </c>
      <c r="Y36" s="205">
        <v>47.260036935551895</v>
      </c>
      <c r="Z36" s="205">
        <v>47.637857769543203</v>
      </c>
      <c r="AA36" s="205">
        <v>48.074173067448015</v>
      </c>
    </row>
    <row r="37" spans="1:27" x14ac:dyDescent="0.2">
      <c r="A37" s="206" t="s">
        <v>1197</v>
      </c>
      <c r="B37" s="195">
        <v>2.7243800517374042</v>
      </c>
      <c r="C37" s="195">
        <v>3.5851511623200683</v>
      </c>
      <c r="D37" s="195">
        <v>4.8436533855949291</v>
      </c>
      <c r="E37" s="195">
        <v>5.7010976783100178</v>
      </c>
      <c r="F37" s="195">
        <v>6.0846338397432982</v>
      </c>
      <c r="G37" s="195">
        <v>6.2510580977277996</v>
      </c>
      <c r="H37" s="195">
        <v>6.4449534182164676</v>
      </c>
      <c r="I37" s="195">
        <v>6.4558114455218769</v>
      </c>
      <c r="J37" s="195">
        <v>6.6051979012757158</v>
      </c>
      <c r="K37" s="195">
        <v>6.6880849549307388</v>
      </c>
      <c r="L37" s="195">
        <v>6.8166312711079362</v>
      </c>
      <c r="M37" s="195">
        <v>7.3176360634934019</v>
      </c>
      <c r="N37" s="195">
        <v>7.812945926103791</v>
      </c>
      <c r="O37" s="195">
        <v>8.5380037560194673</v>
      </c>
      <c r="P37" s="195">
        <v>9.2202153615327465</v>
      </c>
      <c r="Q37" s="195">
        <v>9.8785286724840642</v>
      </c>
      <c r="R37" s="195">
        <v>10.452675515604639</v>
      </c>
      <c r="S37" s="195">
        <v>11.08814945165288</v>
      </c>
      <c r="T37" s="195">
        <v>11.687324659308327</v>
      </c>
      <c r="U37" s="195">
        <v>12.061664958050764</v>
      </c>
      <c r="V37" s="195">
        <v>12.2845124038971</v>
      </c>
      <c r="W37" s="195">
        <v>12.649692318130276</v>
      </c>
      <c r="X37" s="195">
        <v>12.776442944163996</v>
      </c>
      <c r="Y37" s="195">
        <v>12.788710907295997</v>
      </c>
      <c r="Z37" s="195">
        <v>12.789889485498193</v>
      </c>
      <c r="AA37" s="195">
        <v>12.785334576728092</v>
      </c>
    </row>
    <row r="38" spans="1:27" x14ac:dyDescent="0.2">
      <c r="A38" s="207" t="s">
        <v>1198</v>
      </c>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1"/>
    </row>
    <row r="39" spans="1:27" x14ac:dyDescent="0.2">
      <c r="A39" s="208" t="s">
        <v>1199</v>
      </c>
      <c r="B39" s="193">
        <v>523.78724790472165</v>
      </c>
      <c r="C39" s="193">
        <v>555.07880830401348</v>
      </c>
      <c r="D39" s="193">
        <v>553.88507134866848</v>
      </c>
      <c r="E39" s="193">
        <v>572.67534822365894</v>
      </c>
      <c r="F39" s="193">
        <v>608.50574164855163</v>
      </c>
      <c r="G39" s="193">
        <v>603.72263801070881</v>
      </c>
      <c r="H39" s="193">
        <v>669.36798809697302</v>
      </c>
      <c r="I39" s="193">
        <v>682.88005401690668</v>
      </c>
      <c r="J39" s="193">
        <v>724.87566265359965</v>
      </c>
      <c r="K39" s="193">
        <v>730.507727118243</v>
      </c>
      <c r="L39" s="193">
        <v>731.29497138235502</v>
      </c>
      <c r="M39" s="193">
        <v>851.18273565969344</v>
      </c>
      <c r="N39" s="193">
        <v>861.17886681820471</v>
      </c>
      <c r="O39" s="193">
        <v>914.86542212228846</v>
      </c>
      <c r="P39" s="193">
        <v>947.45913680910462</v>
      </c>
      <c r="Q39" s="193">
        <v>993.20307173524793</v>
      </c>
      <c r="R39" s="193">
        <v>1059.9569249284182</v>
      </c>
      <c r="S39" s="193">
        <v>1075.7905823430533</v>
      </c>
      <c r="T39" s="193">
        <v>1159.9295435146023</v>
      </c>
      <c r="U39" s="193">
        <v>1138.1950446474641</v>
      </c>
      <c r="V39" s="193">
        <v>1126.414469822229</v>
      </c>
      <c r="W39" s="193">
        <v>1099.7125085685252</v>
      </c>
      <c r="X39" s="193">
        <v>1120.4388153561342</v>
      </c>
      <c r="Y39" s="193">
        <v>1130.709303661881</v>
      </c>
      <c r="Z39" s="193">
        <v>1064.2303338810575</v>
      </c>
      <c r="AA39" s="193">
        <v>1020.2464450164858</v>
      </c>
    </row>
    <row r="40" spans="1:27" s="211" customFormat="1" x14ac:dyDescent="0.2">
      <c r="A40" s="209" t="s">
        <v>1200</v>
      </c>
      <c r="B40" s="210">
        <v>0</v>
      </c>
      <c r="C40" s="210">
        <v>0</v>
      </c>
      <c r="D40" s="210">
        <v>0</v>
      </c>
      <c r="E40" s="210">
        <v>1.3358706154781594</v>
      </c>
      <c r="F40" s="210">
        <v>2.1835975965020138</v>
      </c>
      <c r="G40" s="210">
        <v>2.964344620806826</v>
      </c>
      <c r="H40" s="210">
        <v>4.219001152072714</v>
      </c>
      <c r="I40" s="210">
        <v>5.307977355766555</v>
      </c>
      <c r="J40" s="210">
        <v>6.7606203008637715</v>
      </c>
      <c r="K40" s="210">
        <v>8.0146312481594002</v>
      </c>
      <c r="L40" s="210">
        <v>9.2986671855784042</v>
      </c>
      <c r="M40" s="210">
        <v>12.399987860074667</v>
      </c>
      <c r="N40" s="210">
        <v>14.243554465664758</v>
      </c>
      <c r="O40" s="210">
        <v>17.055058142779441</v>
      </c>
      <c r="P40" s="210">
        <v>19.791550686138326</v>
      </c>
      <c r="Q40" s="210">
        <v>23.137455648399467</v>
      </c>
      <c r="R40" s="210">
        <v>27.431648222688423</v>
      </c>
      <c r="S40" s="210">
        <v>30.834274855887298</v>
      </c>
      <c r="T40" s="210">
        <v>36.729662175953237</v>
      </c>
      <c r="U40" s="210">
        <v>39.743353937847175</v>
      </c>
      <c r="V40" s="210">
        <v>43.312465255625938</v>
      </c>
      <c r="W40" s="210">
        <v>46.523127623593531</v>
      </c>
      <c r="X40" s="210">
        <v>39.784265935217057</v>
      </c>
      <c r="Y40" s="210">
        <v>26.606830032209771</v>
      </c>
      <c r="Z40" s="210">
        <v>31.656061544555072</v>
      </c>
      <c r="AA40" s="210">
        <v>30.316440593757711</v>
      </c>
    </row>
    <row r="41" spans="1:27" s="211" customFormat="1" x14ac:dyDescent="0.2">
      <c r="A41" s="209" t="s">
        <v>1201</v>
      </c>
      <c r="B41" s="210">
        <v>317.03865757997511</v>
      </c>
      <c r="C41" s="210">
        <v>335.97885580408075</v>
      </c>
      <c r="D41" s="210">
        <v>335.25630907668307</v>
      </c>
      <c r="E41" s="210">
        <v>337.52756892552367</v>
      </c>
      <c r="F41" s="210">
        <v>353.43892978745367</v>
      </c>
      <c r="G41" s="210">
        <v>345.22407539105564</v>
      </c>
      <c r="H41" s="210">
        <v>376.40920137650187</v>
      </c>
      <c r="I41" s="210">
        <v>377.16790872107993</v>
      </c>
      <c r="J41" s="210">
        <v>392.68927844932892</v>
      </c>
      <c r="K41" s="210">
        <v>387.55388009478207</v>
      </c>
      <c r="L41" s="210">
        <v>379.28142284027655</v>
      </c>
      <c r="M41" s="210">
        <v>430.7159621823842</v>
      </c>
      <c r="N41" s="210">
        <v>424.20503069894687</v>
      </c>
      <c r="O41" s="210">
        <v>437.54392160563287</v>
      </c>
      <c r="P41" s="210">
        <v>438.6268082958926</v>
      </c>
      <c r="Q41" s="210">
        <v>443.51695995804118</v>
      </c>
      <c r="R41" s="210">
        <v>454.66273096227246</v>
      </c>
      <c r="S41" s="210">
        <v>441.06226801024985</v>
      </c>
      <c r="T41" s="210">
        <v>451.82095261489366</v>
      </c>
      <c r="U41" s="210">
        <v>418.13124802651527</v>
      </c>
      <c r="V41" s="210">
        <v>386.68203795526705</v>
      </c>
      <c r="W41" s="210">
        <v>348.6435337330102</v>
      </c>
      <c r="X41" s="210">
        <v>299.29883455429103</v>
      </c>
      <c r="Y41" s="210">
        <v>171.40956675248268</v>
      </c>
      <c r="Z41" s="210">
        <v>126.5585648227392</v>
      </c>
      <c r="AA41" s="210">
        <v>94.721423623784418</v>
      </c>
    </row>
    <row r="42" spans="1:27" s="211" customFormat="1" x14ac:dyDescent="0.2">
      <c r="A42" s="209" t="s">
        <v>1202</v>
      </c>
      <c r="B42" s="210">
        <v>206.74859032474654</v>
      </c>
      <c r="C42" s="210">
        <v>219.09995249993267</v>
      </c>
      <c r="D42" s="210">
        <v>218.62876227198535</v>
      </c>
      <c r="E42" s="210">
        <v>233.81190868265728</v>
      </c>
      <c r="F42" s="210">
        <v>252.88321426459595</v>
      </c>
      <c r="G42" s="210">
        <v>255.53421799884637</v>
      </c>
      <c r="H42" s="210">
        <v>288.73978556839842</v>
      </c>
      <c r="I42" s="210">
        <v>300.40416794006006</v>
      </c>
      <c r="J42" s="210">
        <v>325.4257639034069</v>
      </c>
      <c r="K42" s="210">
        <v>334.93921577530159</v>
      </c>
      <c r="L42" s="210">
        <v>342.71488135649986</v>
      </c>
      <c r="M42" s="210">
        <v>408.06678561723453</v>
      </c>
      <c r="N42" s="210">
        <v>422.73028165359318</v>
      </c>
      <c r="O42" s="210">
        <v>460.26644237387598</v>
      </c>
      <c r="P42" s="210">
        <v>489.04077782707367</v>
      </c>
      <c r="Q42" s="210">
        <v>526.54865612880735</v>
      </c>
      <c r="R42" s="210">
        <v>577.8625457434573</v>
      </c>
      <c r="S42" s="210">
        <v>603.89403947691608</v>
      </c>
      <c r="T42" s="210">
        <v>671.37892872375539</v>
      </c>
      <c r="U42" s="210">
        <v>680.32044268310153</v>
      </c>
      <c r="V42" s="210">
        <v>696.41996661133589</v>
      </c>
      <c r="W42" s="210">
        <v>704.54584721192145</v>
      </c>
      <c r="X42" s="210">
        <v>781.35571486662604</v>
      </c>
      <c r="Y42" s="210">
        <v>932.69290687718876</v>
      </c>
      <c r="Z42" s="210">
        <v>906.01570751376323</v>
      </c>
      <c r="AA42" s="210">
        <v>895.20858079894367</v>
      </c>
    </row>
    <row r="43" spans="1:27" s="211" customFormat="1" x14ac:dyDescent="0.2">
      <c r="A43" s="209" t="s">
        <v>1203</v>
      </c>
      <c r="B43" s="210">
        <v>27.727332873501595</v>
      </c>
      <c r="C43" s="210">
        <v>28.353850046603998</v>
      </c>
      <c r="D43" s="210">
        <v>28.480843896602401</v>
      </c>
      <c r="E43" s="210">
        <v>32.14584165878788</v>
      </c>
      <c r="F43" s="210">
        <v>36.22332822901442</v>
      </c>
      <c r="G43" s="210">
        <v>36.821038222831632</v>
      </c>
      <c r="H43" s="210">
        <v>43.863789099161892</v>
      </c>
      <c r="I43" s="210">
        <v>45.868225069953986</v>
      </c>
      <c r="J43" s="210">
        <v>51.983738715911649</v>
      </c>
      <c r="K43" s="210">
        <v>53.577439348431859</v>
      </c>
      <c r="L43" s="210">
        <v>54.741575802860069</v>
      </c>
      <c r="M43" s="210">
        <v>67.475099503107515</v>
      </c>
      <c r="N43" s="210">
        <v>70.461743504594665</v>
      </c>
      <c r="O43" s="210">
        <v>77.945911895563839</v>
      </c>
      <c r="P43" s="210">
        <v>83.639414622103274</v>
      </c>
      <c r="Q43" s="210">
        <v>90.889184365198417</v>
      </c>
      <c r="R43" s="210">
        <v>100.90181414353873</v>
      </c>
      <c r="S43" s="210">
        <v>105.70113568601997</v>
      </c>
      <c r="T43" s="210">
        <v>119.0633084946799</v>
      </c>
      <c r="U43" s="210">
        <v>121.17961552056128</v>
      </c>
      <c r="V43" s="210">
        <v>125.07980386947119</v>
      </c>
      <c r="W43" s="210">
        <v>126.71467698224069</v>
      </c>
      <c r="X43" s="210">
        <v>126.22579775042745</v>
      </c>
      <c r="Y43" s="210">
        <v>124.2846680872067</v>
      </c>
      <c r="Z43" s="210">
        <v>124.86447482770326</v>
      </c>
      <c r="AA43" s="210">
        <v>121.39771968651085</v>
      </c>
    </row>
    <row r="44" spans="1:27" x14ac:dyDescent="0.2">
      <c r="A44" s="212" t="s">
        <v>1204</v>
      </c>
      <c r="B44" s="196">
        <v>154.37480034863742</v>
      </c>
      <c r="C44" s="196">
        <v>173.63942607917861</v>
      </c>
      <c r="D44" s="196">
        <v>175.11126751946563</v>
      </c>
      <c r="E44" s="196">
        <v>173.56152742416518</v>
      </c>
      <c r="F44" s="196">
        <v>170.88354373237999</v>
      </c>
      <c r="G44" s="196">
        <v>171.33483171639776</v>
      </c>
      <c r="H44" s="196">
        <v>166.70931493474578</v>
      </c>
      <c r="I44" s="196">
        <v>163.36403133657026</v>
      </c>
      <c r="J44" s="196">
        <v>158.22673126448501</v>
      </c>
      <c r="K44" s="196">
        <v>155.04748720739556</v>
      </c>
      <c r="L44" s="196">
        <v>153.18237268587316</v>
      </c>
      <c r="M44" s="196">
        <v>140.11583316031167</v>
      </c>
      <c r="N44" s="196">
        <v>137.16535130721661</v>
      </c>
      <c r="O44" s="196">
        <v>127.16726769231389</v>
      </c>
      <c r="P44" s="196">
        <v>121.561659705287</v>
      </c>
      <c r="Q44" s="196">
        <v>113.5453598408447</v>
      </c>
      <c r="R44" s="196">
        <v>101.72406433238109</v>
      </c>
      <c r="S44" s="196">
        <v>96.604167257416094</v>
      </c>
      <c r="T44" s="196">
        <v>80.454958177443544</v>
      </c>
      <c r="U44" s="196">
        <v>76.608738025074402</v>
      </c>
      <c r="V44" s="196">
        <v>72.319946945933381</v>
      </c>
      <c r="W44" s="196">
        <v>69.372278328269843</v>
      </c>
      <c r="X44" s="196">
        <v>69.048903676994243</v>
      </c>
      <c r="Y44" s="196">
        <v>67.883150675749022</v>
      </c>
      <c r="Z44" s="196">
        <v>68.688782178961063</v>
      </c>
      <c r="AA44" s="196">
        <v>66.84136483251666</v>
      </c>
    </row>
    <row r="45" spans="1:27" x14ac:dyDescent="0.2">
      <c r="A45" s="212" t="s">
        <v>1205</v>
      </c>
      <c r="B45" s="196">
        <v>48.135584084668899</v>
      </c>
      <c r="C45" s="196">
        <v>54.142484236882304</v>
      </c>
      <c r="D45" s="196">
        <v>54.60141890269712</v>
      </c>
      <c r="E45" s="196">
        <v>54.118194668571832</v>
      </c>
      <c r="F45" s="196">
        <v>53.283172962424338</v>
      </c>
      <c r="G45" s="196">
        <v>53.423889003203207</v>
      </c>
      <c r="H45" s="196">
        <v>51.98160728704601</v>
      </c>
      <c r="I45" s="196">
        <v>50.938514893965163</v>
      </c>
      <c r="J45" s="196">
        <v>49.336654104318356</v>
      </c>
      <c r="K45" s="196">
        <v>48.345334476438005</v>
      </c>
      <c r="L45" s="196">
        <v>47.763773388258315</v>
      </c>
      <c r="M45" s="196">
        <v>43.689497595785234</v>
      </c>
      <c r="N45" s="196">
        <v>42.769508277520842</v>
      </c>
      <c r="O45" s="196">
        <v>39.652007277073722</v>
      </c>
      <c r="P45" s="196">
        <v>37.904123464457641</v>
      </c>
      <c r="Q45" s="196">
        <v>35.404562167527423</v>
      </c>
      <c r="R45" s="196">
        <v>31.718565731241892</v>
      </c>
      <c r="S45" s="196">
        <v>30.122131367600598</v>
      </c>
      <c r="T45" s="196">
        <v>25.086648828906725</v>
      </c>
      <c r="U45" s="196">
        <v>23.887359481588405</v>
      </c>
      <c r="V45" s="196">
        <v>22.550072157845527</v>
      </c>
      <c r="W45" s="196">
        <v>21.630960034112597</v>
      </c>
      <c r="X45" s="196">
        <v>21.530128631045692</v>
      </c>
      <c r="Y45" s="196">
        <v>21.166635356970733</v>
      </c>
      <c r="Z45" s="196">
        <v>21.417839199026186</v>
      </c>
      <c r="AA45" s="196">
        <v>20.841796264438287</v>
      </c>
    </row>
    <row r="46" spans="1:27" x14ac:dyDescent="0.2">
      <c r="A46" s="207" t="s">
        <v>1206</v>
      </c>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1"/>
    </row>
    <row r="47" spans="1:27" x14ac:dyDescent="0.2">
      <c r="A47" s="213" t="s">
        <v>1207</v>
      </c>
      <c r="B47" s="193">
        <v>0.18704578054597146</v>
      </c>
      <c r="C47" s="193">
        <v>0.18363755108891011</v>
      </c>
      <c r="D47" s="193">
        <v>0.17825630918733032</v>
      </c>
      <c r="E47" s="193">
        <v>0.1866596253473925</v>
      </c>
      <c r="F47" s="193">
        <v>0.19524471800695523</v>
      </c>
      <c r="G47" s="193">
        <v>0.17486707471373006</v>
      </c>
      <c r="H47" s="193">
        <v>0.18888646737484674</v>
      </c>
      <c r="I47" s="193">
        <v>0.19574091625589166</v>
      </c>
      <c r="J47" s="193">
        <v>0.20271654946993692</v>
      </c>
      <c r="K47" s="193">
        <v>0.21758423246205591</v>
      </c>
      <c r="L47" s="193">
        <v>0.20124726934088091</v>
      </c>
      <c r="M47" s="193">
        <v>0.22637386363784326</v>
      </c>
      <c r="N47" s="193">
        <v>0.23589813487815856</v>
      </c>
      <c r="O47" s="193">
        <v>0.23115687775809349</v>
      </c>
      <c r="P47" s="193">
        <v>0.22407905519450899</v>
      </c>
      <c r="Q47" s="193">
        <v>0.23794320040611225</v>
      </c>
      <c r="R47" s="193">
        <v>0.26719382905834899</v>
      </c>
      <c r="S47" s="193">
        <v>0.26876545835409033</v>
      </c>
      <c r="T47" s="193">
        <v>0.29021492547800354</v>
      </c>
      <c r="U47" s="193">
        <v>0.28969235799622606</v>
      </c>
      <c r="V47" s="193">
        <v>0.39829532347837371</v>
      </c>
      <c r="W47" s="193">
        <v>0.43819117845117839</v>
      </c>
      <c r="X47" s="193">
        <v>0.53736076094276086</v>
      </c>
      <c r="Y47" s="193">
        <v>0.64575542087542082</v>
      </c>
      <c r="Z47" s="193">
        <v>0.67573692255892237</v>
      </c>
      <c r="AA47" s="193">
        <v>0.68496199999999996</v>
      </c>
    </row>
    <row r="48" spans="1:27" x14ac:dyDescent="0.2">
      <c r="A48" s="212" t="s">
        <v>1208</v>
      </c>
      <c r="B48" s="196">
        <v>0</v>
      </c>
      <c r="C48" s="214">
        <v>1.6668744588744593E-3</v>
      </c>
      <c r="D48" s="214">
        <v>3.1794086900753574E-3</v>
      </c>
      <c r="E48" s="214">
        <v>4.908019240019241E-3</v>
      </c>
      <c r="F48" s="215">
        <v>6.7292339265672607E-3</v>
      </c>
      <c r="G48" s="215">
        <v>7.4083309283309298E-3</v>
      </c>
      <c r="H48" s="215">
        <v>9.4456219336219328E-3</v>
      </c>
      <c r="I48" s="215">
        <v>1.1235968574635243E-2</v>
      </c>
      <c r="J48" s="215">
        <v>1.3088051306717974E-2</v>
      </c>
      <c r="K48" s="215">
        <v>1.555749494949495E-2</v>
      </c>
      <c r="L48" s="215">
        <v>1.5742703222703228E-2</v>
      </c>
      <c r="M48" s="215">
        <v>1.9184490299823637E-2</v>
      </c>
      <c r="N48" s="215">
        <v>2.14841596921597E-2</v>
      </c>
      <c r="O48" s="215">
        <v>2.2471937149270489E-2</v>
      </c>
      <c r="P48" s="215">
        <v>2.3120166105499447E-2</v>
      </c>
      <c r="Q48" s="215">
        <v>2.5929158249158257E-2</v>
      </c>
      <c r="R48" s="215">
        <v>3.0621101170434515E-2</v>
      </c>
      <c r="S48" s="215">
        <v>3.2272541606541617E-2</v>
      </c>
      <c r="T48" s="215">
        <v>3.6393425685425695E-2</v>
      </c>
      <c r="U48" s="215">
        <v>3.7828789802789815E-2</v>
      </c>
      <c r="V48" s="196">
        <v>5.4019079685746374E-2</v>
      </c>
      <c r="W48" s="196">
        <v>6.1581750841750847E-2</v>
      </c>
      <c r="X48" s="196">
        <v>7.5518673400673406E-2</v>
      </c>
      <c r="Y48" s="196">
        <v>9.0752053872053873E-2</v>
      </c>
      <c r="Z48" s="196">
        <v>9.4965542087542099E-2</v>
      </c>
      <c r="AA48" s="196">
        <v>9.6262E-2</v>
      </c>
    </row>
    <row r="49" spans="1:27" x14ac:dyDescent="0.2">
      <c r="A49" s="212" t="s">
        <v>1209</v>
      </c>
      <c r="B49" s="196">
        <v>5.7677257551016243</v>
      </c>
      <c r="C49" s="196">
        <v>5.3900557614878863</v>
      </c>
      <c r="D49" s="196">
        <v>4.9767844931628664</v>
      </c>
      <c r="E49" s="196">
        <v>4.9532388485735588</v>
      </c>
      <c r="F49" s="196">
        <v>4.9201554379801165</v>
      </c>
      <c r="G49" s="196">
        <v>4.1807436526136073</v>
      </c>
      <c r="H49" s="196">
        <v>4.2798981088316967</v>
      </c>
      <c r="I49" s="196">
        <v>4.1984964021881312</v>
      </c>
      <c r="J49" s="196">
        <v>4.110736184875142</v>
      </c>
      <c r="K49" s="196">
        <v>4.165381066407277</v>
      </c>
      <c r="L49" s="196">
        <v>3.6313300205506511</v>
      </c>
      <c r="M49" s="196">
        <v>3.8433161159635696</v>
      </c>
      <c r="N49" s="196">
        <v>3.7609542476821076</v>
      </c>
      <c r="O49" s="196">
        <v>3.4532278714320115</v>
      </c>
      <c r="P49" s="196">
        <v>3.128975752478901</v>
      </c>
      <c r="Q49" s="196">
        <v>3.0971512739443798</v>
      </c>
      <c r="R49" s="196">
        <v>3.2318750796863367</v>
      </c>
      <c r="S49" s="196">
        <v>3.0102873678944624</v>
      </c>
      <c r="T49" s="196">
        <v>2.9978371917892304</v>
      </c>
      <c r="U49" s="196">
        <v>2.7470067159554969</v>
      </c>
      <c r="V49" s="196">
        <v>3.4483746566020277</v>
      </c>
      <c r="W49" s="196">
        <v>3.4419203703703678</v>
      </c>
      <c r="X49" s="196">
        <v>4.2208812962962936</v>
      </c>
      <c r="Y49" s="196">
        <v>5.0723037037037004</v>
      </c>
      <c r="Z49" s="196">
        <v>5.3078035185185142</v>
      </c>
      <c r="AA49" s="196">
        <v>5.380264999999997</v>
      </c>
    </row>
    <row r="50" spans="1:27" x14ac:dyDescent="0.2">
      <c r="A50" s="212" t="s">
        <v>1210</v>
      </c>
      <c r="B50" s="196">
        <v>0</v>
      </c>
      <c r="C50" s="214">
        <v>2.0620086580086594E-3</v>
      </c>
      <c r="D50" s="214">
        <v>3.9330905884239244E-3</v>
      </c>
      <c r="E50" s="215">
        <v>6.0714699374699432E-3</v>
      </c>
      <c r="F50" s="215">
        <v>8.3244053230719962E-3</v>
      </c>
      <c r="G50" s="215">
        <v>9.1644829244829328E-3</v>
      </c>
      <c r="H50" s="215">
        <v>1.1684715728715735E-2</v>
      </c>
      <c r="I50" s="215">
        <v>1.3899465768799111E-2</v>
      </c>
      <c r="J50" s="215">
        <v>1.6190586499919842E-2</v>
      </c>
      <c r="K50" s="215">
        <v>1.9245414141414154E-2</v>
      </c>
      <c r="L50" s="215">
        <v>1.9474526214526226E-2</v>
      </c>
      <c r="M50" s="215">
        <v>2.373219223985892E-2</v>
      </c>
      <c r="N50" s="215">
        <v>2.6577000481000503E-2</v>
      </c>
      <c r="O50" s="215">
        <v>2.7798931537598222E-2</v>
      </c>
      <c r="P50" s="215">
        <v>2.8600823793490476E-2</v>
      </c>
      <c r="Q50" s="215">
        <v>3.2075690235690263E-2</v>
      </c>
      <c r="R50" s="215">
        <v>3.7879862754529439E-2</v>
      </c>
      <c r="S50" s="215">
        <v>3.9922778739778765E-2</v>
      </c>
      <c r="T50" s="215">
        <v>4.5020522366522403E-2</v>
      </c>
      <c r="U50" s="215">
        <v>4.679614093314096E-2</v>
      </c>
      <c r="V50" s="196">
        <v>6.6824354657688045E-2</v>
      </c>
      <c r="W50" s="196">
        <v>7.6179764309764364E-2</v>
      </c>
      <c r="X50" s="196">
        <v>9.3420447811447885E-2</v>
      </c>
      <c r="Y50" s="196">
        <v>0.11226491582491591</v>
      </c>
      <c r="Z50" s="196">
        <v>0.11747721548821559</v>
      </c>
      <c r="AA50" s="196">
        <v>0.11908100000000008</v>
      </c>
    </row>
    <row r="51" spans="1:27" x14ac:dyDescent="0.2">
      <c r="A51" s="212" t="s">
        <v>1211</v>
      </c>
      <c r="B51" s="196">
        <v>9.7316458530009218</v>
      </c>
      <c r="C51" s="196">
        <v>9.2345279998184093</v>
      </c>
      <c r="D51" s="196">
        <v>8.6643685138085367</v>
      </c>
      <c r="E51" s="196">
        <v>8.7699393015230918</v>
      </c>
      <c r="F51" s="196">
        <v>8.8672012518644152</v>
      </c>
      <c r="G51" s="196">
        <v>7.6767037412850039</v>
      </c>
      <c r="H51" s="196">
        <v>8.0152474897703563</v>
      </c>
      <c r="I51" s="196">
        <v>8.0283893574533423</v>
      </c>
      <c r="J51" s="196">
        <v>8.0359920002208423</v>
      </c>
      <c r="K51" s="196">
        <v>8.3357611742977742</v>
      </c>
      <c r="L51" s="196">
        <v>7.4502465483905098</v>
      </c>
      <c r="M51" s="196">
        <v>8.0972214056288916</v>
      </c>
      <c r="N51" s="196">
        <v>8.1515543628751761</v>
      </c>
      <c r="O51" s="196">
        <v>7.7153679837630404</v>
      </c>
      <c r="P51" s="196">
        <v>7.2227576465700114</v>
      </c>
      <c r="Q51" s="196">
        <v>7.4051713884956731</v>
      </c>
      <c r="R51" s="196">
        <v>8.0268666363114907</v>
      </c>
      <c r="S51" s="196">
        <v>7.7918026747060889</v>
      </c>
      <c r="T51" s="196">
        <v>8.117176972525856</v>
      </c>
      <c r="U51" s="196">
        <v>7.8146106030085845</v>
      </c>
      <c r="V51" s="196">
        <v>10.358874844261344</v>
      </c>
      <c r="W51" s="196">
        <v>10.983665218855192</v>
      </c>
      <c r="X51" s="196">
        <v>13.46944208417505</v>
      </c>
      <c r="Y51" s="196">
        <v>16.186454006733971</v>
      </c>
      <c r="Z51" s="196">
        <v>16.937967942760899</v>
      </c>
      <c r="AA51" s="196">
        <v>17.169202999999957</v>
      </c>
    </row>
    <row r="52" spans="1:27" ht="24" x14ac:dyDescent="0.2">
      <c r="A52" s="206" t="s">
        <v>1212</v>
      </c>
      <c r="B52" s="216">
        <v>2.1069575757575756E-2</v>
      </c>
      <c r="C52" s="216">
        <v>2.0317090909090903E-2</v>
      </c>
      <c r="D52" s="216">
        <v>1.9376484848484844E-2</v>
      </c>
      <c r="E52" s="216">
        <v>1.9940848484848481E-2</v>
      </c>
      <c r="F52" s="216">
        <v>2.0505212121212119E-2</v>
      </c>
      <c r="G52" s="216">
        <v>1.8059636363636361E-2</v>
      </c>
      <c r="H52" s="216">
        <v>1.9188363636363632E-2</v>
      </c>
      <c r="I52" s="216">
        <v>1.956460606060606E-2</v>
      </c>
      <c r="J52" s="216">
        <v>1.9940848484848485E-2</v>
      </c>
      <c r="K52" s="216">
        <v>2.1069575757575759E-2</v>
      </c>
      <c r="L52" s="216">
        <v>1.9188363636363635E-2</v>
      </c>
      <c r="M52" s="216">
        <v>2.1257696969696972E-2</v>
      </c>
      <c r="N52" s="216">
        <v>2.1822060606060609E-2</v>
      </c>
      <c r="O52" s="216">
        <v>2.1069575757575763E-2</v>
      </c>
      <c r="P52" s="216">
        <v>2.0128969696969701E-2</v>
      </c>
      <c r="Q52" s="216">
        <v>2.1069575757575763E-2</v>
      </c>
      <c r="R52" s="216">
        <v>2.3327030303030311E-2</v>
      </c>
      <c r="S52" s="216">
        <v>2.3138909090909095E-2</v>
      </c>
      <c r="T52" s="216">
        <v>2.4643878787878798E-2</v>
      </c>
      <c r="U52" s="216">
        <v>2.4267636363636377E-2</v>
      </c>
      <c r="V52" s="216">
        <v>3.2921212121212136E-2</v>
      </c>
      <c r="W52" s="216">
        <v>3.574303030303029E-2</v>
      </c>
      <c r="X52" s="216">
        <v>4.3832242424242412E-2</v>
      </c>
      <c r="Y52" s="195">
        <v>5.2673939393939377E-2</v>
      </c>
      <c r="Z52" s="195">
        <v>5.5119515151515128E-2</v>
      </c>
      <c r="AA52" s="195">
        <v>5.5871999999999977E-2</v>
      </c>
    </row>
    <row r="53" spans="1:27" x14ac:dyDescent="0.2">
      <c r="A53" s="207" t="s">
        <v>1213</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1"/>
    </row>
    <row r="54" spans="1:27" x14ac:dyDescent="0.2">
      <c r="A54" s="217" t="s">
        <v>1214</v>
      </c>
      <c r="B54" s="218">
        <v>116.51023949575305</v>
      </c>
      <c r="C54" s="218">
        <v>120.51002618733793</v>
      </c>
      <c r="D54" s="218">
        <v>125.42967595173263</v>
      </c>
      <c r="E54" s="218">
        <v>128.4106675819838</v>
      </c>
      <c r="F54" s="218">
        <v>133.46964287335149</v>
      </c>
      <c r="G54" s="218">
        <v>137.48461139936902</v>
      </c>
      <c r="H54" s="218">
        <v>143.30855213770869</v>
      </c>
      <c r="I54" s="218">
        <v>145.75196061977266</v>
      </c>
      <c r="J54" s="218">
        <v>151.25755775797268</v>
      </c>
      <c r="K54" s="218">
        <v>156.29943327800066</v>
      </c>
      <c r="L54" s="218">
        <v>163.08470146493514</v>
      </c>
      <c r="M54" s="218">
        <v>174.22095801276782</v>
      </c>
      <c r="N54" s="218">
        <v>181.55209209953563</v>
      </c>
      <c r="O54" s="218">
        <v>190.49620967610022</v>
      </c>
      <c r="P54" s="218">
        <v>202.99989384694348</v>
      </c>
      <c r="Q54" s="218">
        <v>213.50729290488948</v>
      </c>
      <c r="R54" s="218">
        <v>227.71988014239454</v>
      </c>
      <c r="S54" s="218">
        <v>240.13811308572127</v>
      </c>
      <c r="T54" s="218">
        <v>255.1416341729383</v>
      </c>
      <c r="U54" s="218">
        <v>259.88686725633681</v>
      </c>
      <c r="V54" s="218">
        <v>260.88114464227993</v>
      </c>
      <c r="W54" s="218">
        <v>263.98872196125797</v>
      </c>
      <c r="X54" s="218">
        <v>262.17513785338701</v>
      </c>
      <c r="Y54" s="218">
        <v>257.00231683779589</v>
      </c>
      <c r="Z54" s="218">
        <v>254.32570416258645</v>
      </c>
      <c r="AA54" s="218">
        <v>252.92233047789131</v>
      </c>
    </row>
    <row r="55" spans="1:27" x14ac:dyDescent="0.2">
      <c r="A55" s="207" t="s">
        <v>1215</v>
      </c>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1"/>
    </row>
    <row r="56" spans="1:27" ht="24" x14ac:dyDescent="0.2">
      <c r="A56" s="213" t="s">
        <v>1216</v>
      </c>
      <c r="B56" s="193">
        <v>0</v>
      </c>
      <c r="C56" s="193">
        <v>3.1595871762412404</v>
      </c>
      <c r="D56" s="193">
        <v>6.2403763135145693</v>
      </c>
      <c r="E56" s="193">
        <v>9.622999140825927</v>
      </c>
      <c r="F56" s="193">
        <v>13.233335900490907</v>
      </c>
      <c r="G56" s="193">
        <v>16.687091149245404</v>
      </c>
      <c r="H56" s="193">
        <v>21.019207800186194</v>
      </c>
      <c r="I56" s="193">
        <v>25.017574173416872</v>
      </c>
      <c r="J56" s="193">
        <v>29.731323029180267</v>
      </c>
      <c r="K56" s="193">
        <v>34.105431482003098</v>
      </c>
      <c r="L56" s="193">
        <v>38.670926731188985</v>
      </c>
      <c r="M56" s="193">
        <v>46.477428160399491</v>
      </c>
      <c r="N56" s="193">
        <v>52.113404350986357</v>
      </c>
      <c r="O56" s="193">
        <v>59.386793082007841</v>
      </c>
      <c r="P56" s="193">
        <v>66.732075159741456</v>
      </c>
      <c r="Q56" s="193">
        <v>75.085146391435387</v>
      </c>
      <c r="R56" s="193">
        <v>85.195222251675617</v>
      </c>
      <c r="S56" s="193">
        <v>93.863330635945644</v>
      </c>
      <c r="T56" s="193">
        <v>106.65509032986692</v>
      </c>
      <c r="U56" s="193">
        <v>114.29654143174709</v>
      </c>
      <c r="V56" s="193">
        <v>122.49600439756313</v>
      </c>
      <c r="W56" s="193">
        <v>130.31255285856622</v>
      </c>
      <c r="X56" s="193">
        <v>121.07564712838258</v>
      </c>
      <c r="Y56" s="193">
        <v>109.37599303315329</v>
      </c>
      <c r="Z56" s="193">
        <v>112.1143310654477</v>
      </c>
      <c r="AA56" s="193">
        <v>120.67322120117747</v>
      </c>
    </row>
    <row r="57" spans="1:27" ht="24" x14ac:dyDescent="0.2">
      <c r="A57" s="206" t="s">
        <v>1217</v>
      </c>
      <c r="B57" s="195">
        <v>352.13783807925375</v>
      </c>
      <c r="C57" s="195">
        <v>373.23778282152324</v>
      </c>
      <c r="D57" s="195">
        <v>352.3577699388037</v>
      </c>
      <c r="E57" s="195">
        <v>345.55577215442281</v>
      </c>
      <c r="F57" s="195">
        <v>339.19622875300865</v>
      </c>
      <c r="G57" s="195">
        <v>324.82265617351288</v>
      </c>
      <c r="H57" s="195">
        <v>322.7402758418919</v>
      </c>
      <c r="I57" s="195">
        <v>310.67166739782226</v>
      </c>
      <c r="J57" s="195">
        <v>303.73028163799574</v>
      </c>
      <c r="K57" s="195">
        <v>289.99619198124878</v>
      </c>
      <c r="L57" s="195">
        <v>275.82468799338579</v>
      </c>
      <c r="M57" s="195">
        <v>279.39622973117537</v>
      </c>
      <c r="N57" s="195">
        <v>264.58647584402178</v>
      </c>
      <c r="O57" s="195">
        <v>254.56498503460023</v>
      </c>
      <c r="P57" s="195">
        <v>240.8312113824131</v>
      </c>
      <c r="Q57" s="195">
        <v>226.88078479143377</v>
      </c>
      <c r="R57" s="195">
        <v>213.65054457257509</v>
      </c>
      <c r="S57" s="195">
        <v>192.82915803965057</v>
      </c>
      <c r="T57" s="195">
        <v>176.12223568557621</v>
      </c>
      <c r="U57" s="195">
        <v>147.52417443499974</v>
      </c>
      <c r="V57" s="195">
        <v>118.35128010864879</v>
      </c>
      <c r="W57" s="195">
        <v>87.638330456893044</v>
      </c>
      <c r="X57" s="195">
        <v>96.72922500345048</v>
      </c>
      <c r="Y57" s="195">
        <v>105.86209063600722</v>
      </c>
      <c r="Z57" s="195">
        <v>103.95060992242365</v>
      </c>
      <c r="AA57" s="195">
        <v>88.464293831705817</v>
      </c>
    </row>
    <row r="58" spans="1:27" x14ac:dyDescent="0.2">
      <c r="A58" s="207" t="s">
        <v>1218</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1"/>
    </row>
    <row r="59" spans="1:27" x14ac:dyDescent="0.2">
      <c r="A59" s="213" t="s">
        <v>1219</v>
      </c>
      <c r="B59" s="193">
        <v>0.28623972044255475</v>
      </c>
      <c r="C59" s="193">
        <v>0.31900378228595366</v>
      </c>
      <c r="D59" s="193">
        <v>0.32263958477781607</v>
      </c>
      <c r="E59" s="193">
        <v>0.33468120252352979</v>
      </c>
      <c r="F59" s="193">
        <v>0.34727875754675414</v>
      </c>
      <c r="G59" s="193">
        <v>0.35349454943048214</v>
      </c>
      <c r="H59" s="193">
        <v>0.37508450880556859</v>
      </c>
      <c r="I59" s="193">
        <v>0.37996781039516597</v>
      </c>
      <c r="J59" s="193">
        <v>0.39649258275378862</v>
      </c>
      <c r="K59" s="193">
        <v>0.40142948763608427</v>
      </c>
      <c r="L59" s="193">
        <v>0.40802781004454641</v>
      </c>
      <c r="M59" s="193">
        <v>0.44170975105315835</v>
      </c>
      <c r="N59" s="193">
        <v>0.45279256338915169</v>
      </c>
      <c r="O59" s="193">
        <v>0.46632016369193391</v>
      </c>
      <c r="P59" s="193">
        <v>0.49312102122401263</v>
      </c>
      <c r="Q59" s="193">
        <v>0.51529808734479066</v>
      </c>
      <c r="R59" s="193">
        <v>0.54451204750573456</v>
      </c>
      <c r="S59" s="193">
        <v>0.57458331438286325</v>
      </c>
      <c r="T59" s="193">
        <v>0.61576319853658557</v>
      </c>
      <c r="U59" s="193">
        <v>0.62202531183530152</v>
      </c>
      <c r="V59" s="193">
        <v>0.6323506150356768</v>
      </c>
      <c r="W59" s="193">
        <v>0.64255204831094603</v>
      </c>
      <c r="X59" s="193">
        <v>0.63955683106342054</v>
      </c>
      <c r="Y59" s="193">
        <v>0.62875918974580058</v>
      </c>
      <c r="Z59" s="193">
        <v>0.63622125074548652</v>
      </c>
      <c r="AA59" s="193">
        <v>0.6191097787187807</v>
      </c>
    </row>
    <row r="60" spans="1:27" x14ac:dyDescent="0.2">
      <c r="A60" s="212" t="s">
        <v>1220</v>
      </c>
      <c r="B60" s="196">
        <v>1.3645681411982444</v>
      </c>
      <c r="C60" s="196">
        <v>1.4471833034412871</v>
      </c>
      <c r="D60" s="196">
        <v>1.4901432440313296</v>
      </c>
      <c r="E60" s="196">
        <v>1.5277994439543774</v>
      </c>
      <c r="F60" s="196">
        <v>1.5791076886531688</v>
      </c>
      <c r="G60" s="196">
        <v>1.6110512159164256</v>
      </c>
      <c r="H60" s="196">
        <v>1.6800445752346851</v>
      </c>
      <c r="I60" s="196">
        <v>1.6979082375804522</v>
      </c>
      <c r="J60" s="196">
        <v>1.7484089406535728</v>
      </c>
      <c r="K60" s="196">
        <v>1.782016617086803</v>
      </c>
      <c r="L60" s="196">
        <v>1.8252228969446358</v>
      </c>
      <c r="M60" s="196">
        <v>1.929949197404514</v>
      </c>
      <c r="N60" s="196">
        <v>1.9818001617260019</v>
      </c>
      <c r="O60" s="196">
        <v>2.0381451343489267</v>
      </c>
      <c r="P60" s="196">
        <v>2.1408750914345021</v>
      </c>
      <c r="Q60" s="196">
        <v>2.2249722747441405</v>
      </c>
      <c r="R60" s="196">
        <v>2.3350281271556015</v>
      </c>
      <c r="S60" s="196">
        <v>2.4469144418536053</v>
      </c>
      <c r="T60" s="196">
        <v>2.5799070882001596</v>
      </c>
      <c r="U60" s="196">
        <v>2.6075819211317333</v>
      </c>
      <c r="V60" s="196">
        <v>2.6270233887839103</v>
      </c>
      <c r="W60" s="196">
        <v>2.658702013830931</v>
      </c>
      <c r="X60" s="196">
        <v>2.6488219155657862</v>
      </c>
      <c r="Y60" s="196">
        <v>2.609674975648689</v>
      </c>
      <c r="Z60" s="196">
        <v>2.6106574459442844</v>
      </c>
      <c r="AA60" s="196">
        <v>2.5732448148765941</v>
      </c>
    </row>
    <row r="61" spans="1:27" x14ac:dyDescent="0.2">
      <c r="A61" s="212" t="s">
        <v>1221</v>
      </c>
      <c r="B61" s="196">
        <v>1.1876411252353543</v>
      </c>
      <c r="C61" s="196">
        <v>1.2288508873448458</v>
      </c>
      <c r="D61" s="196">
        <v>1.2752847627079695</v>
      </c>
      <c r="E61" s="196">
        <v>1.3865956043322569</v>
      </c>
      <c r="F61" s="196">
        <v>1.4627757147250757</v>
      </c>
      <c r="G61" s="196">
        <v>1.5059927100925374</v>
      </c>
      <c r="H61" s="196">
        <v>1.6501003091645914</v>
      </c>
      <c r="I61" s="196">
        <v>1.6494948133618696</v>
      </c>
      <c r="J61" s="196">
        <v>1.7853941836501828</v>
      </c>
      <c r="K61" s="196">
        <v>1.7456959693071301</v>
      </c>
      <c r="L61" s="196">
        <v>1.7252476162591051</v>
      </c>
      <c r="M61" s="196">
        <v>1.880449356125393</v>
      </c>
      <c r="N61" s="196">
        <v>1.9285579218354565</v>
      </c>
      <c r="O61" s="196">
        <v>2.0068226294243585</v>
      </c>
      <c r="P61" s="196">
        <v>2.0740312387834092</v>
      </c>
      <c r="Q61" s="196">
        <v>2.159479646735337</v>
      </c>
      <c r="R61" s="196">
        <v>2.2612019996989541</v>
      </c>
      <c r="S61" s="196">
        <v>2.3018235715103419</v>
      </c>
      <c r="T61" s="196">
        <v>2.4694554155789774</v>
      </c>
      <c r="U61" s="196">
        <v>2.5049286952735161</v>
      </c>
      <c r="V61" s="196">
        <v>2.6194498637704808</v>
      </c>
      <c r="W61" s="196">
        <v>2.6506412097012144</v>
      </c>
      <c r="X61" s="196">
        <v>2.6382854071025488</v>
      </c>
      <c r="Y61" s="196">
        <v>2.5937432208013926</v>
      </c>
      <c r="Z61" s="196">
        <v>2.6245255464465518</v>
      </c>
      <c r="AA61" s="196">
        <v>2.5539376881837663</v>
      </c>
    </row>
    <row r="62" spans="1:27" x14ac:dyDescent="0.2">
      <c r="A62" s="212" t="s">
        <v>1222</v>
      </c>
      <c r="B62" s="196">
        <v>2.6569300530901154</v>
      </c>
      <c r="C62" s="196">
        <v>2.7491224276238833</v>
      </c>
      <c r="D62" s="196">
        <v>2.8530019214476381</v>
      </c>
      <c r="E62" s="196">
        <v>3.1020208498614847</v>
      </c>
      <c r="F62" s="196">
        <v>3.2724471010661933</v>
      </c>
      <c r="G62" s="196">
        <v>3.3691299553024097</v>
      </c>
      <c r="H62" s="196">
        <v>3.6915201140107703</v>
      </c>
      <c r="I62" s="196">
        <v>3.690165529733509</v>
      </c>
      <c r="J62" s="196">
        <v>3.9941926583355833</v>
      </c>
      <c r="K62" s="196">
        <v>3.9053818412453896</v>
      </c>
      <c r="L62" s="196">
        <v>3.8596358304386924</v>
      </c>
      <c r="M62" s="196">
        <v>4.2068452341724152</v>
      </c>
      <c r="N62" s="196">
        <v>4.314471259686476</v>
      </c>
      <c r="O62" s="196">
        <v>4.489561065243735</v>
      </c>
      <c r="P62" s="196">
        <v>4.6399167326572144</v>
      </c>
      <c r="Q62" s="196">
        <v>4.8310775456773865</v>
      </c>
      <c r="R62" s="196">
        <v>5.058645597100762</v>
      </c>
      <c r="S62" s="196">
        <v>5.1495221023481239</v>
      </c>
      <c r="T62" s="196">
        <v>5.5245395001943036</v>
      </c>
      <c r="U62" s="196">
        <v>5.6038985093254636</v>
      </c>
      <c r="V62" s="196">
        <v>5.8600994170148839</v>
      </c>
      <c r="W62" s="196">
        <v>5.9298791026781537</v>
      </c>
      <c r="X62" s="196">
        <v>5.902237332317652</v>
      </c>
      <c r="Y62" s="196">
        <v>5.8025898286237831</v>
      </c>
      <c r="Z62" s="196">
        <v>5.8714544749995312</v>
      </c>
      <c r="AA62" s="196">
        <v>5.7135389245722132</v>
      </c>
    </row>
    <row r="63" spans="1:27" x14ac:dyDescent="0.2">
      <c r="A63" s="206" t="s">
        <v>1223</v>
      </c>
      <c r="B63" s="195">
        <v>94.905000000000001</v>
      </c>
      <c r="C63" s="195">
        <v>95.311999999999998</v>
      </c>
      <c r="D63" s="195">
        <v>96.754999999999995</v>
      </c>
      <c r="E63" s="195">
        <v>98.456999999999994</v>
      </c>
      <c r="F63" s="195">
        <v>100.566</v>
      </c>
      <c r="G63" s="195">
        <v>101.084</v>
      </c>
      <c r="H63" s="195">
        <v>100.34399999999999</v>
      </c>
      <c r="I63" s="195">
        <v>100.455</v>
      </c>
      <c r="J63" s="195">
        <v>101.898</v>
      </c>
      <c r="K63" s="195">
        <v>112.813</v>
      </c>
      <c r="L63" s="195">
        <v>105.22799999999999</v>
      </c>
      <c r="M63" s="195">
        <v>107.078</v>
      </c>
      <c r="N63" s="195">
        <v>106.07899999999999</v>
      </c>
      <c r="O63" s="195">
        <v>107.855</v>
      </c>
      <c r="P63" s="195">
        <v>107.744</v>
      </c>
      <c r="Q63" s="195">
        <v>109.816</v>
      </c>
      <c r="R63" s="195">
        <v>115.514</v>
      </c>
      <c r="S63" s="195">
        <v>122.063</v>
      </c>
      <c r="T63" s="195">
        <v>132.01599999999999</v>
      </c>
      <c r="U63" s="195">
        <v>135.27199999999999</v>
      </c>
      <c r="V63" s="195">
        <v>142.006</v>
      </c>
      <c r="W63" s="195">
        <v>157.102</v>
      </c>
      <c r="X63" s="195">
        <v>168.31299999999999</v>
      </c>
      <c r="Y63" s="195">
        <v>171.60599999999999</v>
      </c>
      <c r="Z63" s="195">
        <v>186.25800000000001</v>
      </c>
      <c r="AA63" s="195">
        <v>195.21199999999999</v>
      </c>
    </row>
    <row r="64" spans="1:27" x14ac:dyDescent="0.2">
      <c r="A64" s="207" t="s">
        <v>1224</v>
      </c>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1"/>
    </row>
    <row r="65" spans="1:27" x14ac:dyDescent="0.2">
      <c r="A65" s="213" t="s">
        <v>1225</v>
      </c>
      <c r="B65" s="193">
        <v>0.31002300794366489</v>
      </c>
      <c r="C65" s="193">
        <v>0.34871116949855069</v>
      </c>
      <c r="D65" s="193">
        <v>0.35166699330854667</v>
      </c>
      <c r="E65" s="193">
        <v>0.36386408014667443</v>
      </c>
      <c r="F65" s="193">
        <v>0.37758230127476033</v>
      </c>
      <c r="G65" s="193">
        <v>0.38417097801948069</v>
      </c>
      <c r="H65" s="193">
        <v>0.40739615284194736</v>
      </c>
      <c r="I65" s="193">
        <v>0.41375220888829023</v>
      </c>
      <c r="J65" s="193">
        <v>0.43161605206200176</v>
      </c>
      <c r="K65" s="193">
        <v>0.43902879555959567</v>
      </c>
      <c r="L65" s="193">
        <v>0.44846170014488507</v>
      </c>
      <c r="M65" s="193">
        <v>0.4878333066363828</v>
      </c>
      <c r="N65" s="193">
        <v>0.50134822700047466</v>
      </c>
      <c r="O65" s="193">
        <v>0.51744173306928198</v>
      </c>
      <c r="P65" s="193">
        <v>0.5504472648736074</v>
      </c>
      <c r="Q65" s="193">
        <v>0.57717515116260487</v>
      </c>
      <c r="R65" s="193">
        <v>0.61254102545212707</v>
      </c>
      <c r="S65" s="193">
        <v>0.65037049517878298</v>
      </c>
      <c r="T65" s="193">
        <v>0.69909037999408163</v>
      </c>
      <c r="U65" s="193">
        <v>0.70666896629892495</v>
      </c>
      <c r="V65" s="193">
        <v>0.71707822421141465</v>
      </c>
      <c r="W65" s="193">
        <v>0.72938209007938215</v>
      </c>
      <c r="X65" s="193">
        <v>0.7259821198793267</v>
      </c>
      <c r="Y65" s="193">
        <v>0.71372535995944875</v>
      </c>
      <c r="Z65" s="193">
        <v>0.72219579229649866</v>
      </c>
      <c r="AA65" s="193">
        <v>0.702771994233787</v>
      </c>
    </row>
    <row r="66" spans="1:27" x14ac:dyDescent="0.2">
      <c r="A66" s="206" t="s">
        <v>1226</v>
      </c>
      <c r="B66" s="195">
        <v>0.73860484045285413</v>
      </c>
      <c r="C66" s="195">
        <v>0.78333135558788658</v>
      </c>
      <c r="D66" s="195">
        <v>0.80656745460288026</v>
      </c>
      <c r="E66" s="195">
        <v>0.82695642386365709</v>
      </c>
      <c r="F66" s="195">
        <v>0.85471474786716295</v>
      </c>
      <c r="G66" s="195">
        <v>0.87200119739337323</v>
      </c>
      <c r="H66" s="195">
        <v>0.90937230487027632</v>
      </c>
      <c r="I66" s="195">
        <v>0.91902962535254351</v>
      </c>
      <c r="J66" s="195">
        <v>0.9463579987402061</v>
      </c>
      <c r="K66" s="195">
        <v>0.96453410764333325</v>
      </c>
      <c r="L66" s="195">
        <v>0.98793059890833823</v>
      </c>
      <c r="M66" s="195">
        <v>1.0446047194562627</v>
      </c>
      <c r="N66" s="195">
        <v>1.0726731402002023</v>
      </c>
      <c r="O66" s="195">
        <v>1.1031838796277909</v>
      </c>
      <c r="P66" s="195">
        <v>1.1587810421214415</v>
      </c>
      <c r="Q66" s="195">
        <v>1.2043179624070663</v>
      </c>
      <c r="R66" s="195">
        <v>1.2638618737545153</v>
      </c>
      <c r="S66" s="195">
        <v>1.3244328438256623</v>
      </c>
      <c r="T66" s="195">
        <v>1.3964168942417243</v>
      </c>
      <c r="U66" s="195">
        <v>1.4114026569164355</v>
      </c>
      <c r="V66" s="195">
        <v>1.4219293794704955</v>
      </c>
      <c r="W66" s="195">
        <v>1.4390558185277991</v>
      </c>
      <c r="X66" s="195">
        <v>1.4337273678419358</v>
      </c>
      <c r="Y66" s="195">
        <v>1.4125359254086858</v>
      </c>
      <c r="Z66" s="195">
        <v>1.4130635813349159</v>
      </c>
      <c r="AA66" s="195">
        <v>1.3928246988413071</v>
      </c>
    </row>
    <row r="67" spans="1:27" x14ac:dyDescent="0.2">
      <c r="A67" s="219" t="s">
        <v>1227</v>
      </c>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c r="AA67" s="221"/>
    </row>
    <row r="68" spans="1:27" ht="24" x14ac:dyDescent="0.2">
      <c r="A68" s="213" t="s">
        <v>1228</v>
      </c>
      <c r="B68" s="193">
        <v>134.79184137153604</v>
      </c>
      <c r="C68" s="193">
        <v>137.48381546012999</v>
      </c>
      <c r="D68" s="193">
        <v>138.20551975692001</v>
      </c>
      <c r="E68" s="193">
        <v>137.78296160679005</v>
      </c>
      <c r="F68" s="193">
        <v>140.862119529312</v>
      </c>
      <c r="G68" s="193">
        <v>142.60456052577001</v>
      </c>
      <c r="H68" s="193">
        <v>145.08246881664002</v>
      </c>
      <c r="I68" s="193">
        <v>145.23022198945802</v>
      </c>
      <c r="J68" s="193">
        <v>149.17474260543605</v>
      </c>
      <c r="K68" s="193">
        <v>148.78869620932801</v>
      </c>
      <c r="L68" s="193">
        <v>150.22095791227198</v>
      </c>
      <c r="M68" s="193">
        <v>153.48358455516001</v>
      </c>
      <c r="N68" s="193">
        <v>153.93537485726401</v>
      </c>
      <c r="O68" s="193">
        <v>153.362333683548</v>
      </c>
      <c r="P68" s="193">
        <v>150.56969634788402</v>
      </c>
      <c r="Q68" s="193">
        <v>149.32852419869999</v>
      </c>
      <c r="R68" s="193">
        <v>149.03152950131226</v>
      </c>
      <c r="S68" s="193">
        <v>141.60424604545616</v>
      </c>
      <c r="T68" s="193">
        <v>138.76855147781998</v>
      </c>
      <c r="U68" s="193">
        <v>129.14695426914821</v>
      </c>
      <c r="V68" s="193">
        <v>123.4599692228694</v>
      </c>
      <c r="W68" s="193">
        <v>123.4599692228694</v>
      </c>
      <c r="X68" s="193">
        <v>123.4599692228694</v>
      </c>
      <c r="Y68" s="193">
        <v>123.4599692228694</v>
      </c>
      <c r="Z68" s="193">
        <v>123.4599692228694</v>
      </c>
      <c r="AA68" s="193">
        <v>123.4599692228694</v>
      </c>
    </row>
    <row r="69" spans="1:27" ht="24" x14ac:dyDescent="0.2">
      <c r="A69" s="206" t="s">
        <v>1229</v>
      </c>
      <c r="B69" s="195">
        <v>6.157604751486546</v>
      </c>
      <c r="C69" s="195">
        <v>6.2187730106072738</v>
      </c>
      <c r="D69" s="195">
        <v>7.0187578896960003</v>
      </c>
      <c r="E69" s="195">
        <v>7.0871224145956386</v>
      </c>
      <c r="F69" s="195">
        <v>7.5320915152581822</v>
      </c>
      <c r="G69" s="195">
        <v>8.7446622990043643</v>
      </c>
      <c r="H69" s="195">
        <v>9.5950210385454557</v>
      </c>
      <c r="I69" s="195">
        <v>10.459772309644364</v>
      </c>
      <c r="J69" s="195">
        <v>11.338916112301092</v>
      </c>
      <c r="K69" s="195">
        <v>14.205428647566544</v>
      </c>
      <c r="L69" s="195">
        <v>15.131348177786181</v>
      </c>
      <c r="M69" s="195">
        <v>16.071660239563641</v>
      </c>
      <c r="N69" s="195">
        <v>17.837144110656002</v>
      </c>
      <c r="O69" s="195">
        <v>18.813437501328</v>
      </c>
      <c r="P69" s="195">
        <v>20.449388588400002</v>
      </c>
      <c r="Q69" s="195">
        <v>24.130278534312001</v>
      </c>
      <c r="R69" s="195">
        <v>27.397495020172876</v>
      </c>
      <c r="S69" s="195">
        <v>24.918858805061053</v>
      </c>
      <c r="T69" s="195">
        <v>25.726650159600002</v>
      </c>
      <c r="U69" s="195">
        <v>26.442664771540368</v>
      </c>
      <c r="V69" s="195">
        <v>27.105334745076</v>
      </c>
      <c r="W69" s="195">
        <v>27.105334745076</v>
      </c>
      <c r="X69" s="195">
        <v>27.105334745076</v>
      </c>
      <c r="Y69" s="195">
        <v>27.105334745076</v>
      </c>
      <c r="Z69" s="195">
        <v>27.105334745076</v>
      </c>
      <c r="AA69" s="195">
        <v>27.105334745076</v>
      </c>
    </row>
    <row r="70" spans="1:27" ht="12.75" x14ac:dyDescent="0.2">
      <c r="A70" s="222" t="s">
        <v>1230</v>
      </c>
      <c r="B70" s="223"/>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4"/>
    </row>
    <row r="71" spans="1:27" s="227" customFormat="1" x14ac:dyDescent="0.2">
      <c r="A71" s="225" t="s">
        <v>1172</v>
      </c>
      <c r="B71" s="226">
        <v>853.24452172210408</v>
      </c>
      <c r="C71" s="226">
        <v>842.7844950258833</v>
      </c>
      <c r="D71" s="226">
        <v>848.20430650808885</v>
      </c>
      <c r="E71" s="226">
        <v>822.53608387554277</v>
      </c>
      <c r="F71" s="226">
        <v>802.71316498624162</v>
      </c>
      <c r="G71" s="226">
        <v>729.95264929499729</v>
      </c>
      <c r="H71" s="226">
        <v>657.65879342998005</v>
      </c>
      <c r="I71" s="226">
        <v>633.35950402736887</v>
      </c>
      <c r="J71" s="226">
        <v>560.27307547986879</v>
      </c>
      <c r="K71" s="226">
        <v>568.38903005365785</v>
      </c>
      <c r="L71" s="226">
        <v>557.22135207914869</v>
      </c>
      <c r="M71" s="226">
        <v>528.23945824237933</v>
      </c>
      <c r="N71" s="226">
        <v>531.56442441294587</v>
      </c>
      <c r="O71" s="226">
        <v>502.35183416738346</v>
      </c>
      <c r="P71" s="226">
        <v>485.85575400390786</v>
      </c>
      <c r="Q71" s="226">
        <v>466.16831507593776</v>
      </c>
      <c r="R71" s="226">
        <v>455.56646363159882</v>
      </c>
      <c r="S71" s="226">
        <v>443.1626988841652</v>
      </c>
      <c r="T71" s="226">
        <v>430.60425869609594</v>
      </c>
      <c r="U71" s="226">
        <v>417.17064109658531</v>
      </c>
      <c r="V71" s="226">
        <v>406.41279745945059</v>
      </c>
      <c r="W71" s="226">
        <v>405.37975529995441</v>
      </c>
      <c r="X71" s="226">
        <v>405.53356117663776</v>
      </c>
      <c r="Y71" s="226">
        <v>434.39016616704401</v>
      </c>
      <c r="Z71" s="226">
        <v>445.64769952322871</v>
      </c>
      <c r="AA71" s="226">
        <v>444.8372021170556</v>
      </c>
    </row>
    <row r="72" spans="1:27" x14ac:dyDescent="0.2">
      <c r="A72" s="219" t="s">
        <v>1231</v>
      </c>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c r="AA72" s="221"/>
    </row>
    <row r="73" spans="1:27" s="211" customFormat="1" x14ac:dyDescent="0.2">
      <c r="A73" s="208" t="s">
        <v>1232</v>
      </c>
      <c r="B73" s="228">
        <v>633.86716491584741</v>
      </c>
      <c r="C73" s="228">
        <v>627.37796662133167</v>
      </c>
      <c r="D73" s="228">
        <v>631.89987271484233</v>
      </c>
      <c r="E73" s="228">
        <v>602.76355900449562</v>
      </c>
      <c r="F73" s="228">
        <v>578.00949796759392</v>
      </c>
      <c r="G73" s="228">
        <v>515.87288357597379</v>
      </c>
      <c r="H73" s="228">
        <v>455.57358926290362</v>
      </c>
      <c r="I73" s="228">
        <v>429.42953809597356</v>
      </c>
      <c r="J73" s="228">
        <v>371.21566891271101</v>
      </c>
      <c r="K73" s="228">
        <v>367.34462827010606</v>
      </c>
      <c r="L73" s="228">
        <v>350.5696407258053</v>
      </c>
      <c r="M73" s="228">
        <v>322.77161257973438</v>
      </c>
      <c r="N73" s="228">
        <v>314.62790219733785</v>
      </c>
      <c r="O73" s="228">
        <v>287.15456368003913</v>
      </c>
      <c r="P73" s="228">
        <v>267.27896541909786</v>
      </c>
      <c r="Q73" s="228">
        <v>245.79827033300947</v>
      </c>
      <c r="R73" s="228">
        <v>229.12757178974411</v>
      </c>
      <c r="S73" s="228">
        <v>211.39033798479284</v>
      </c>
      <c r="T73" s="228">
        <v>193.45511404300726</v>
      </c>
      <c r="U73" s="228">
        <v>175.01962082651784</v>
      </c>
      <c r="V73" s="228">
        <v>157.52925731239452</v>
      </c>
      <c r="W73" s="228">
        <v>143.18714990847593</v>
      </c>
      <c r="X73" s="228">
        <v>143.34095578515931</v>
      </c>
      <c r="Y73" s="228">
        <v>153.1604739154582</v>
      </c>
      <c r="Z73" s="228">
        <v>157.06276916660138</v>
      </c>
      <c r="AA73" s="228">
        <v>156.25227176042827</v>
      </c>
    </row>
    <row r="74" spans="1:27" s="211" customFormat="1" x14ac:dyDescent="0.2">
      <c r="A74" s="229" t="s">
        <v>1233</v>
      </c>
      <c r="B74" s="210" t="s">
        <v>1234</v>
      </c>
      <c r="C74" s="210" t="s">
        <v>1234</v>
      </c>
      <c r="D74" s="210" t="s">
        <v>1234</v>
      </c>
      <c r="E74" s="210" t="s">
        <v>1234</v>
      </c>
      <c r="F74" s="210" t="s">
        <v>1234</v>
      </c>
      <c r="G74" s="210" t="s">
        <v>1234</v>
      </c>
      <c r="H74" s="210" t="s">
        <v>1234</v>
      </c>
      <c r="I74" s="210" t="s">
        <v>1234</v>
      </c>
      <c r="J74" s="210" t="s">
        <v>1234</v>
      </c>
      <c r="K74" s="210" t="s">
        <v>1234</v>
      </c>
      <c r="L74" s="210" t="s">
        <v>1234</v>
      </c>
      <c r="M74" s="210" t="s">
        <v>1234</v>
      </c>
      <c r="N74" s="210" t="s">
        <v>1234</v>
      </c>
      <c r="O74" s="210" t="s">
        <v>1234</v>
      </c>
      <c r="P74" s="210" t="s">
        <v>1234</v>
      </c>
      <c r="Q74" s="210" t="s">
        <v>1234</v>
      </c>
      <c r="R74" s="210" t="s">
        <v>1234</v>
      </c>
      <c r="S74" s="210" t="s">
        <v>1234</v>
      </c>
      <c r="T74" s="210" t="s">
        <v>1234</v>
      </c>
      <c r="U74" s="210" t="s">
        <v>1234</v>
      </c>
      <c r="V74" s="210" t="s">
        <v>1234</v>
      </c>
      <c r="W74" s="210">
        <v>14.625297430406849</v>
      </c>
      <c r="X74" s="210">
        <v>14.625297430406849</v>
      </c>
      <c r="Y74" s="210">
        <v>15.68720021413276</v>
      </c>
      <c r="Z74" s="210">
        <v>16.097480835117771</v>
      </c>
      <c r="AA74" s="210">
        <v>16.097480835117771</v>
      </c>
    </row>
    <row r="75" spans="1:27" s="211" customFormat="1" x14ac:dyDescent="0.2">
      <c r="A75" s="229" t="s">
        <v>1235</v>
      </c>
      <c r="B75" s="210" t="s">
        <v>1234</v>
      </c>
      <c r="C75" s="210" t="s">
        <v>1234</v>
      </c>
      <c r="D75" s="210" t="s">
        <v>1234</v>
      </c>
      <c r="E75" s="210" t="s">
        <v>1234</v>
      </c>
      <c r="F75" s="210" t="s">
        <v>1234</v>
      </c>
      <c r="G75" s="210" t="s">
        <v>1234</v>
      </c>
      <c r="H75" s="210" t="s">
        <v>1234</v>
      </c>
      <c r="I75" s="210" t="s">
        <v>1234</v>
      </c>
      <c r="J75" s="210" t="s">
        <v>1234</v>
      </c>
      <c r="K75" s="210" t="s">
        <v>1234</v>
      </c>
      <c r="L75" s="210" t="s">
        <v>1234</v>
      </c>
      <c r="M75" s="210" t="s">
        <v>1234</v>
      </c>
      <c r="N75" s="210" t="s">
        <v>1234</v>
      </c>
      <c r="O75" s="210" t="s">
        <v>1234</v>
      </c>
      <c r="P75" s="210" t="s">
        <v>1234</v>
      </c>
      <c r="Q75" s="210" t="s">
        <v>1234</v>
      </c>
      <c r="R75" s="210" t="s">
        <v>1234</v>
      </c>
      <c r="S75" s="210" t="s">
        <v>1234</v>
      </c>
      <c r="T75" s="210" t="s">
        <v>1234</v>
      </c>
      <c r="U75" s="210" t="s">
        <v>1234</v>
      </c>
      <c r="V75" s="210" t="s">
        <v>1234</v>
      </c>
      <c r="W75" s="210">
        <v>64.412531563169139</v>
      </c>
      <c r="X75" s="210">
        <v>64.412531563169139</v>
      </c>
      <c r="Y75" s="210">
        <v>69.089349036402538</v>
      </c>
      <c r="Z75" s="210">
        <v>70.896301241969994</v>
      </c>
      <c r="AA75" s="210">
        <v>70.896301241969994</v>
      </c>
    </row>
    <row r="76" spans="1:27" s="211" customFormat="1" ht="24" x14ac:dyDescent="0.2">
      <c r="A76" s="229" t="s">
        <v>1236</v>
      </c>
      <c r="B76" s="210" t="s">
        <v>1234</v>
      </c>
      <c r="C76" s="210" t="s">
        <v>1234</v>
      </c>
      <c r="D76" s="210" t="s">
        <v>1234</v>
      </c>
      <c r="E76" s="210" t="s">
        <v>1234</v>
      </c>
      <c r="F76" s="210" t="s">
        <v>1234</v>
      </c>
      <c r="G76" s="210" t="s">
        <v>1234</v>
      </c>
      <c r="H76" s="210" t="s">
        <v>1234</v>
      </c>
      <c r="I76" s="210" t="s">
        <v>1234</v>
      </c>
      <c r="J76" s="210" t="s">
        <v>1234</v>
      </c>
      <c r="K76" s="210" t="s">
        <v>1234</v>
      </c>
      <c r="L76" s="210" t="s">
        <v>1234</v>
      </c>
      <c r="M76" s="210" t="s">
        <v>1234</v>
      </c>
      <c r="N76" s="210" t="s">
        <v>1234</v>
      </c>
      <c r="O76" s="210" t="s">
        <v>1234</v>
      </c>
      <c r="P76" s="210" t="s">
        <v>1234</v>
      </c>
      <c r="Q76" s="210" t="s">
        <v>1234</v>
      </c>
      <c r="R76" s="210" t="s">
        <v>1234</v>
      </c>
      <c r="S76" s="210" t="s">
        <v>1234</v>
      </c>
      <c r="T76" s="210" t="s">
        <v>1234</v>
      </c>
      <c r="U76" s="210" t="s">
        <v>1234</v>
      </c>
      <c r="V76" s="210" t="s">
        <v>1234</v>
      </c>
      <c r="W76" s="210">
        <v>22.060956487200837</v>
      </c>
      <c r="X76" s="210">
        <v>22.386579461181665</v>
      </c>
      <c r="Y76" s="210">
        <v>22.766989820501614</v>
      </c>
      <c r="Z76" s="210">
        <v>23.143440507303456</v>
      </c>
      <c r="AA76" s="210">
        <v>21.427533537473256</v>
      </c>
    </row>
    <row r="77" spans="1:27" s="211" customFormat="1" ht="24" x14ac:dyDescent="0.2">
      <c r="A77" s="229" t="s">
        <v>1237</v>
      </c>
      <c r="B77" s="210" t="s">
        <v>1234</v>
      </c>
      <c r="C77" s="210" t="s">
        <v>1234</v>
      </c>
      <c r="D77" s="210" t="s">
        <v>1234</v>
      </c>
      <c r="E77" s="210" t="s">
        <v>1234</v>
      </c>
      <c r="F77" s="210" t="s">
        <v>1234</v>
      </c>
      <c r="G77" s="210" t="s">
        <v>1234</v>
      </c>
      <c r="H77" s="210" t="s">
        <v>1234</v>
      </c>
      <c r="I77" s="210" t="s">
        <v>1234</v>
      </c>
      <c r="J77" s="210" t="s">
        <v>1234</v>
      </c>
      <c r="K77" s="210" t="s">
        <v>1234</v>
      </c>
      <c r="L77" s="210" t="s">
        <v>1234</v>
      </c>
      <c r="M77" s="210" t="s">
        <v>1234</v>
      </c>
      <c r="N77" s="210" t="s">
        <v>1234</v>
      </c>
      <c r="O77" s="210" t="s">
        <v>1234</v>
      </c>
      <c r="P77" s="210" t="s">
        <v>1234</v>
      </c>
      <c r="Q77" s="210" t="s">
        <v>1234</v>
      </c>
      <c r="R77" s="210" t="s">
        <v>1234</v>
      </c>
      <c r="S77" s="210" t="s">
        <v>1234</v>
      </c>
      <c r="T77" s="210" t="s">
        <v>1234</v>
      </c>
      <c r="U77" s="210" t="s">
        <v>1234</v>
      </c>
      <c r="V77" s="210" t="s">
        <v>1234</v>
      </c>
      <c r="W77" s="210">
        <v>6.9585924405470827</v>
      </c>
      <c r="X77" s="210">
        <v>6.7867753432496238</v>
      </c>
      <c r="Y77" s="210">
        <v>7.9364863433506159</v>
      </c>
      <c r="Z77" s="210">
        <v>8.2596094280345547</v>
      </c>
      <c r="AA77" s="210">
        <v>9.1650189916916496</v>
      </c>
    </row>
    <row r="78" spans="1:27" s="211" customFormat="1" x14ac:dyDescent="0.2">
      <c r="A78" s="229" t="s">
        <v>1180</v>
      </c>
      <c r="B78" s="210" t="s">
        <v>1234</v>
      </c>
      <c r="C78" s="210" t="s">
        <v>1234</v>
      </c>
      <c r="D78" s="210" t="s">
        <v>1234</v>
      </c>
      <c r="E78" s="210" t="s">
        <v>1234</v>
      </c>
      <c r="F78" s="210" t="s">
        <v>1234</v>
      </c>
      <c r="G78" s="210" t="s">
        <v>1234</v>
      </c>
      <c r="H78" s="210" t="s">
        <v>1234</v>
      </c>
      <c r="I78" s="210" t="s">
        <v>1234</v>
      </c>
      <c r="J78" s="210" t="s">
        <v>1234</v>
      </c>
      <c r="K78" s="210" t="s">
        <v>1234</v>
      </c>
      <c r="L78" s="210" t="s">
        <v>1234</v>
      </c>
      <c r="M78" s="210" t="s">
        <v>1234</v>
      </c>
      <c r="N78" s="210" t="s">
        <v>1234</v>
      </c>
      <c r="O78" s="210" t="s">
        <v>1234</v>
      </c>
      <c r="P78" s="210" t="s">
        <v>1234</v>
      </c>
      <c r="Q78" s="210" t="s">
        <v>1234</v>
      </c>
      <c r="R78" s="210" t="s">
        <v>1234</v>
      </c>
      <c r="S78" s="210" t="s">
        <v>1234</v>
      </c>
      <c r="T78" s="210" t="s">
        <v>1234</v>
      </c>
      <c r="U78" s="210" t="s">
        <v>1234</v>
      </c>
      <c r="V78" s="210" t="s">
        <v>1234</v>
      </c>
      <c r="W78" s="210">
        <v>15.353400591006423</v>
      </c>
      <c r="X78" s="210">
        <v>15.353400591006423</v>
      </c>
      <c r="Y78" s="210">
        <v>16.468168950749462</v>
      </c>
      <c r="Z78" s="210">
        <v>16.898874907922913</v>
      </c>
      <c r="AA78" s="210">
        <v>16.898874907922913</v>
      </c>
    </row>
    <row r="79" spans="1:27" s="211" customFormat="1" x14ac:dyDescent="0.2">
      <c r="A79" s="230" t="s">
        <v>1238</v>
      </c>
      <c r="B79" s="231" t="s">
        <v>1234</v>
      </c>
      <c r="C79" s="231" t="s">
        <v>1234</v>
      </c>
      <c r="D79" s="231" t="s">
        <v>1234</v>
      </c>
      <c r="E79" s="231" t="s">
        <v>1234</v>
      </c>
      <c r="F79" s="231" t="s">
        <v>1234</v>
      </c>
      <c r="G79" s="231" t="s">
        <v>1234</v>
      </c>
      <c r="H79" s="231" t="s">
        <v>1234</v>
      </c>
      <c r="I79" s="231" t="s">
        <v>1234</v>
      </c>
      <c r="J79" s="231" t="s">
        <v>1234</v>
      </c>
      <c r="K79" s="231" t="s">
        <v>1234</v>
      </c>
      <c r="L79" s="231" t="s">
        <v>1234</v>
      </c>
      <c r="M79" s="231" t="s">
        <v>1234</v>
      </c>
      <c r="N79" s="231" t="s">
        <v>1234</v>
      </c>
      <c r="O79" s="231" t="s">
        <v>1234</v>
      </c>
      <c r="P79" s="231" t="s">
        <v>1234</v>
      </c>
      <c r="Q79" s="231" t="s">
        <v>1234</v>
      </c>
      <c r="R79" s="231" t="s">
        <v>1234</v>
      </c>
      <c r="S79" s="231" t="s">
        <v>1234</v>
      </c>
      <c r="T79" s="231" t="s">
        <v>1234</v>
      </c>
      <c r="U79" s="231" t="s">
        <v>1234</v>
      </c>
      <c r="V79" s="231" t="s">
        <v>1234</v>
      </c>
      <c r="W79" s="231">
        <v>19.776371396145617</v>
      </c>
      <c r="X79" s="231">
        <v>19.776371396145617</v>
      </c>
      <c r="Y79" s="231">
        <v>21.212279550321202</v>
      </c>
      <c r="Z79" s="231">
        <v>21.767062246252685</v>
      </c>
      <c r="AA79" s="231">
        <v>21.767062246252685</v>
      </c>
    </row>
    <row r="80" spans="1:27" x14ac:dyDescent="0.2">
      <c r="A80" s="207" t="s">
        <v>1198</v>
      </c>
      <c r="B80" s="232"/>
      <c r="C80" s="232"/>
      <c r="D80" s="232"/>
      <c r="E80" s="232"/>
      <c r="F80" s="232"/>
      <c r="G80" s="232"/>
      <c r="H80" s="232"/>
      <c r="I80" s="232"/>
      <c r="J80" s="232"/>
      <c r="K80" s="232"/>
      <c r="L80" s="232"/>
      <c r="M80" s="232"/>
      <c r="N80" s="232"/>
      <c r="O80" s="232"/>
      <c r="P80" s="232"/>
      <c r="Q80" s="232"/>
      <c r="R80" s="232"/>
      <c r="S80" s="232"/>
      <c r="T80" s="232"/>
      <c r="U80" s="232"/>
      <c r="V80" s="232"/>
      <c r="W80" s="232"/>
      <c r="X80" s="232"/>
      <c r="Y80" s="232"/>
      <c r="Z80" s="232"/>
      <c r="AA80" s="233"/>
    </row>
    <row r="81" spans="1:27" x14ac:dyDescent="0.2">
      <c r="A81" s="234" t="s">
        <v>1239</v>
      </c>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c r="AA81" s="236"/>
    </row>
    <row r="82" spans="1:27" x14ac:dyDescent="0.2">
      <c r="A82" s="213" t="s">
        <v>1240</v>
      </c>
      <c r="B82" s="193">
        <v>137.10177833888682</v>
      </c>
      <c r="C82" s="193">
        <v>135.94563264353573</v>
      </c>
      <c r="D82" s="193">
        <v>137.0193838481004</v>
      </c>
      <c r="E82" s="193">
        <v>142.04827815108214</v>
      </c>
      <c r="F82" s="193">
        <v>147.99614953768474</v>
      </c>
      <c r="G82" s="193">
        <v>143.50935697102503</v>
      </c>
      <c r="H82" s="193">
        <v>137.73302035339071</v>
      </c>
      <c r="I82" s="193">
        <v>141.17578639020095</v>
      </c>
      <c r="J82" s="193">
        <v>132.81960108384334</v>
      </c>
      <c r="K82" s="193">
        <v>143.21754211153822</v>
      </c>
      <c r="L82" s="193">
        <v>149.16074259729166</v>
      </c>
      <c r="M82" s="193">
        <v>150.1661939620688</v>
      </c>
      <c r="N82" s="193">
        <v>160.43474570864268</v>
      </c>
      <c r="O82" s="193">
        <v>160.94795407289081</v>
      </c>
      <c r="P82" s="193">
        <v>165.23419326761697</v>
      </c>
      <c r="Q82" s="193">
        <v>168.29715791557953</v>
      </c>
      <c r="R82" s="193">
        <v>174.62244155050308</v>
      </c>
      <c r="S82" s="193">
        <v>180.40387858980412</v>
      </c>
      <c r="T82" s="193">
        <v>186.23615863742458</v>
      </c>
      <c r="U82" s="193">
        <v>191.78804155251387</v>
      </c>
      <c r="V82" s="193">
        <v>198.73267570876499</v>
      </c>
      <c r="W82" s="193">
        <v>211.0018130360117</v>
      </c>
      <c r="X82" s="193">
        <v>211.0018130360117</v>
      </c>
      <c r="Y82" s="193">
        <v>226.32207668879144</v>
      </c>
      <c r="Z82" s="193">
        <v>232.24126946372908</v>
      </c>
      <c r="AA82" s="193">
        <v>232.24126946372908</v>
      </c>
    </row>
    <row r="83" spans="1:27" x14ac:dyDescent="0.2">
      <c r="A83" s="212" t="s">
        <v>1241</v>
      </c>
      <c r="B83" s="196">
        <v>3.8608725465519531</v>
      </c>
      <c r="C83" s="196">
        <v>3.8283147546029532</v>
      </c>
      <c r="D83" s="196">
        <v>3.8585522657261406</v>
      </c>
      <c r="E83" s="196">
        <v>3.8703584800158768</v>
      </c>
      <c r="F83" s="196">
        <v>3.9084012735851386</v>
      </c>
      <c r="G83" s="196">
        <v>3.6792389229277553</v>
      </c>
      <c r="H83" s="196">
        <v>3.4330728693791004</v>
      </c>
      <c r="I83" s="196">
        <v>3.4257814700121125</v>
      </c>
      <c r="J83" s="196">
        <v>3.1416529368974029</v>
      </c>
      <c r="K83" s="196">
        <v>3.3059065107089913</v>
      </c>
      <c r="L83" s="196">
        <v>3.363664847173943</v>
      </c>
      <c r="M83" s="196">
        <v>3.3115178630456663</v>
      </c>
      <c r="N83" s="196">
        <v>3.463008825178667</v>
      </c>
      <c r="O83" s="196">
        <v>3.4034368579984156</v>
      </c>
      <c r="P83" s="196">
        <v>3.4257986774976348</v>
      </c>
      <c r="Q83" s="196">
        <v>3.4237252547135193</v>
      </c>
      <c r="R83" s="196">
        <v>3.4881308359461349</v>
      </c>
      <c r="S83" s="196">
        <v>3.5407974042120443</v>
      </c>
      <c r="T83" s="196">
        <v>3.593822928609173</v>
      </c>
      <c r="U83" s="196">
        <v>3.6409191205010782</v>
      </c>
      <c r="V83" s="196">
        <v>3.7136470751137205</v>
      </c>
      <c r="W83" s="196">
        <v>3.8832120521915638</v>
      </c>
      <c r="X83" s="196">
        <v>3.8832120521915638</v>
      </c>
      <c r="Y83" s="196">
        <v>4.1651614421196639</v>
      </c>
      <c r="Z83" s="196">
        <v>4.2740964336827938</v>
      </c>
      <c r="AA83" s="196">
        <v>4.2740964336827938</v>
      </c>
    </row>
    <row r="84" spans="1:27" x14ac:dyDescent="0.2">
      <c r="A84" s="212" t="s">
        <v>1242</v>
      </c>
      <c r="B84" s="196">
        <v>16.493561684757786</v>
      </c>
      <c r="C84" s="196">
        <v>15.908376184772951</v>
      </c>
      <c r="D84" s="196">
        <v>15.865029110699997</v>
      </c>
      <c r="E84" s="196">
        <v>15.734987888481147</v>
      </c>
      <c r="F84" s="196">
        <v>15.713314351444669</v>
      </c>
      <c r="G84" s="196">
        <v>14.629637499620898</v>
      </c>
      <c r="H84" s="196">
        <v>13.502613573724179</v>
      </c>
      <c r="I84" s="196">
        <v>13.329225277432377</v>
      </c>
      <c r="J84" s="196">
        <v>12.093833666353278</v>
      </c>
      <c r="K84" s="196">
        <v>12.592325018192213</v>
      </c>
      <c r="L84" s="196">
        <v>12.679019166338119</v>
      </c>
      <c r="M84" s="196">
        <v>12.353916110790983</v>
      </c>
      <c r="N84" s="196">
        <v>12.787386851520493</v>
      </c>
      <c r="O84" s="196">
        <v>12.440610258936886</v>
      </c>
      <c r="P84" s="196">
        <v>12.397263184863935</v>
      </c>
      <c r="Q84" s="196">
        <v>12.267221962645085</v>
      </c>
      <c r="R84" s="196">
        <v>12.375589647827461</v>
      </c>
      <c r="S84" s="196">
        <v>12.440610258936886</v>
      </c>
      <c r="T84" s="196">
        <v>12.505630870046312</v>
      </c>
      <c r="U84" s="196">
        <v>12.548977944119262</v>
      </c>
      <c r="V84" s="196">
        <v>12.679019166338119</v>
      </c>
      <c r="W84" s="196">
        <v>13.134163444104097</v>
      </c>
      <c r="X84" s="196">
        <v>13.134163444104097</v>
      </c>
      <c r="Y84" s="196">
        <v>14.087799073709014</v>
      </c>
      <c r="Z84" s="196">
        <v>14.456249203329101</v>
      </c>
      <c r="AA84" s="196">
        <v>14.456249203329101</v>
      </c>
    </row>
    <row r="85" spans="1:27" x14ac:dyDescent="0.2">
      <c r="A85" s="206" t="s">
        <v>1243</v>
      </c>
      <c r="B85" s="195">
        <v>2.4142926360600003</v>
      </c>
      <c r="C85" s="195">
        <v>2.3286344216400003</v>
      </c>
      <c r="D85" s="195">
        <v>2.3222893687200004</v>
      </c>
      <c r="E85" s="195">
        <v>2.30325420996</v>
      </c>
      <c r="F85" s="195">
        <v>2.3000816835000002</v>
      </c>
      <c r="G85" s="195">
        <v>2.1414553605000002</v>
      </c>
      <c r="H85" s="195">
        <v>1.9764839845800002</v>
      </c>
      <c r="I85" s="195">
        <v>1.9511037729000003</v>
      </c>
      <c r="J85" s="195">
        <v>1.7702697646800001</v>
      </c>
      <c r="K85" s="195">
        <v>1.8432378732600003</v>
      </c>
      <c r="L85" s="195">
        <v>1.8559279791000001</v>
      </c>
      <c r="M85" s="195">
        <v>1.8083400822000002</v>
      </c>
      <c r="N85" s="195">
        <v>1.8717906114</v>
      </c>
      <c r="O85" s="195">
        <v>1.8210301880400002</v>
      </c>
      <c r="P85" s="195">
        <v>1.81468513512</v>
      </c>
      <c r="Q85" s="195">
        <v>1.7956499763600002</v>
      </c>
      <c r="R85" s="195">
        <v>1.81151260866</v>
      </c>
      <c r="S85" s="195">
        <v>1.8210301880400002</v>
      </c>
      <c r="T85" s="195">
        <v>1.8305477674200001</v>
      </c>
      <c r="U85" s="195">
        <v>1.8368928203400001</v>
      </c>
      <c r="V85" s="195">
        <v>1.8559279791000001</v>
      </c>
      <c r="W85" s="195">
        <v>1.9225510347600001</v>
      </c>
      <c r="X85" s="195">
        <v>1.9225510347600001</v>
      </c>
      <c r="Y85" s="195">
        <v>2.0621421990000002</v>
      </c>
      <c r="Z85" s="195">
        <v>2.1160751488200003</v>
      </c>
      <c r="AA85" s="195">
        <v>2.1160751488200003</v>
      </c>
    </row>
    <row r="86" spans="1:27" x14ac:dyDescent="0.2">
      <c r="A86" s="219" t="s">
        <v>1244</v>
      </c>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c r="AA86" s="221"/>
    </row>
    <row r="87" spans="1:27" x14ac:dyDescent="0.2">
      <c r="A87" s="217" t="s">
        <v>1245</v>
      </c>
      <c r="B87" s="218">
        <v>59.506851600000005</v>
      </c>
      <c r="C87" s="218">
        <v>57.395570399999997</v>
      </c>
      <c r="D87" s="218">
        <v>57.239179199999995</v>
      </c>
      <c r="E87" s="218">
        <v>55.815646141507941</v>
      </c>
      <c r="F87" s="218">
        <v>54.785720172433216</v>
      </c>
      <c r="G87" s="218">
        <v>50.120076964949838</v>
      </c>
      <c r="H87" s="218">
        <v>45.44001338600247</v>
      </c>
      <c r="I87" s="218">
        <v>44.048069020849766</v>
      </c>
      <c r="J87" s="218">
        <v>39.232049115383752</v>
      </c>
      <c r="K87" s="218">
        <v>40.085390269852361</v>
      </c>
      <c r="L87" s="218">
        <v>39.592356763439646</v>
      </c>
      <c r="M87" s="218">
        <v>37.827877644539605</v>
      </c>
      <c r="N87" s="218">
        <v>38.379590218866213</v>
      </c>
      <c r="O87" s="218">
        <v>36.584239109478183</v>
      </c>
      <c r="P87" s="218">
        <v>35.704848319711466</v>
      </c>
      <c r="Q87" s="218">
        <v>34.586289633630102</v>
      </c>
      <c r="R87" s="218">
        <v>34.141217198918056</v>
      </c>
      <c r="S87" s="218">
        <v>33.566044458379345</v>
      </c>
      <c r="T87" s="218">
        <v>32.982984449588628</v>
      </c>
      <c r="U87" s="218">
        <v>32.336188832593251</v>
      </c>
      <c r="V87" s="218">
        <v>31.902270217739193</v>
      </c>
      <c r="W87" s="218">
        <v>32.250865824411122</v>
      </c>
      <c r="X87" s="218">
        <v>32.250865824411122</v>
      </c>
      <c r="Y87" s="218">
        <v>34.592512847965722</v>
      </c>
      <c r="Z87" s="218">
        <v>35.497240107066361</v>
      </c>
      <c r="AA87" s="218">
        <v>35.497240107066361</v>
      </c>
    </row>
    <row r="88" spans="1:27" ht="12.75" x14ac:dyDescent="0.2">
      <c r="A88" s="222" t="s">
        <v>1246</v>
      </c>
      <c r="B88" s="223"/>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4"/>
    </row>
    <row r="89" spans="1:27" s="211" customFormat="1" x14ac:dyDescent="0.2">
      <c r="A89" s="208" t="s">
        <v>1098</v>
      </c>
      <c r="B89" s="164">
        <v>2342.570559375783</v>
      </c>
      <c r="C89" s="164">
        <v>2371.6580010476678</v>
      </c>
      <c r="D89" s="164">
        <v>2375.3326953433061</v>
      </c>
      <c r="E89" s="164">
        <v>2327.67665950121</v>
      </c>
      <c r="F89" s="164">
        <v>2281.185425085208</v>
      </c>
      <c r="G89" s="164">
        <v>2229.42843288939</v>
      </c>
      <c r="H89" s="164">
        <v>2170.4780474969334</v>
      </c>
      <c r="I89" s="164">
        <v>2124.5660512256095</v>
      </c>
      <c r="J89" s="164">
        <v>2069.7909236038759</v>
      </c>
      <c r="K89" s="164">
        <v>2015.5898200382778</v>
      </c>
      <c r="L89" s="164">
        <v>1978.8525391536418</v>
      </c>
      <c r="M89" s="164">
        <v>1907.7360440948169</v>
      </c>
      <c r="N89" s="164">
        <v>1877.7567804288844</v>
      </c>
      <c r="O89" s="164">
        <v>1827.5346108642821</v>
      </c>
      <c r="P89" s="164">
        <v>1781.4181238538788</v>
      </c>
      <c r="Q89" s="164">
        <v>1725.965815751744</v>
      </c>
      <c r="R89" s="164">
        <v>1673.1224729088151</v>
      </c>
      <c r="S89" s="164">
        <v>1647.6115660048699</v>
      </c>
      <c r="T89" s="164">
        <v>1608.7613190088198</v>
      </c>
      <c r="U89" s="164">
        <v>1564.7023756643721</v>
      </c>
      <c r="V89" s="164">
        <v>1533.2370395951802</v>
      </c>
      <c r="W89" s="164">
        <v>1493.8764818705192</v>
      </c>
      <c r="X89" s="164">
        <v>1491.8255486206119</v>
      </c>
      <c r="Y89" s="164">
        <v>1563.3595728327073</v>
      </c>
      <c r="Z89" s="164">
        <v>1616.9516302912571</v>
      </c>
      <c r="AA89" s="164">
        <v>1687.5592154238186</v>
      </c>
    </row>
    <row r="90" spans="1:27" x14ac:dyDescent="0.2">
      <c r="A90" s="212" t="s">
        <v>1170</v>
      </c>
      <c r="B90" s="182">
        <v>0</v>
      </c>
      <c r="C90" s="182">
        <v>0</v>
      </c>
      <c r="D90" s="182">
        <v>0</v>
      </c>
      <c r="E90" s="182">
        <v>53.51325516</v>
      </c>
      <c r="F90" s="182">
        <v>77.594379840000002</v>
      </c>
      <c r="G90" s="182">
        <v>101.66396778000002</v>
      </c>
      <c r="H90" s="182">
        <v>82.84298022000003</v>
      </c>
      <c r="I90" s="182">
        <v>127.43704494000002</v>
      </c>
      <c r="J90" s="182">
        <v>183.11824422000001</v>
      </c>
      <c r="K90" s="182">
        <v>212.95610586000001</v>
      </c>
      <c r="L90" s="182">
        <v>255.10047192000005</v>
      </c>
      <c r="M90" s="182">
        <v>330.68998206000009</v>
      </c>
      <c r="N90" s="182">
        <v>351.41767110000006</v>
      </c>
      <c r="O90" s="182">
        <v>353.41816878000009</v>
      </c>
      <c r="P90" s="182">
        <v>409.94058708000006</v>
      </c>
      <c r="Q90" s="182">
        <v>496.15994160000008</v>
      </c>
      <c r="R90" s="182">
        <v>458.27611866000001</v>
      </c>
      <c r="S90" s="182">
        <v>435.32596044000007</v>
      </c>
      <c r="T90" s="182">
        <v>437.67664344000008</v>
      </c>
      <c r="U90" s="182">
        <v>378.95409756000004</v>
      </c>
      <c r="V90" s="182">
        <v>433.19010348000006</v>
      </c>
      <c r="W90" s="182">
        <v>341.94373488000008</v>
      </c>
      <c r="X90" s="182">
        <v>375.40474920000008</v>
      </c>
      <c r="Y90" s="182">
        <v>331.77227850000003</v>
      </c>
      <c r="Z90" s="182">
        <v>334.98937260000008</v>
      </c>
      <c r="AA90" s="182">
        <v>338.20646670000002</v>
      </c>
    </row>
    <row r="91" spans="1:27" s="185" customFormat="1" x14ac:dyDescent="0.2">
      <c r="A91" s="237" t="s">
        <v>1172</v>
      </c>
      <c r="B91" s="184">
        <v>2342.570559375783</v>
      </c>
      <c r="C91" s="184">
        <v>2371.6580010476678</v>
      </c>
      <c r="D91" s="184">
        <v>2375.3326953433061</v>
      </c>
      <c r="E91" s="184">
        <v>2274.1634043412096</v>
      </c>
      <c r="F91" s="184">
        <v>2203.5910452452076</v>
      </c>
      <c r="G91" s="184">
        <v>2127.7644651093897</v>
      </c>
      <c r="H91" s="184">
        <v>2087.6350672769336</v>
      </c>
      <c r="I91" s="184">
        <v>1997.1290062856096</v>
      </c>
      <c r="J91" s="184">
        <v>1886.6726793838761</v>
      </c>
      <c r="K91" s="184">
        <v>1802.6337141782778</v>
      </c>
      <c r="L91" s="184">
        <v>1723.7520672336416</v>
      </c>
      <c r="M91" s="184">
        <v>1577.0460620348167</v>
      </c>
      <c r="N91" s="184">
        <v>1526.3391093288847</v>
      </c>
      <c r="O91" s="184">
        <v>1474.1164420842822</v>
      </c>
      <c r="P91" s="184">
        <v>1371.4775367738787</v>
      </c>
      <c r="Q91" s="184">
        <v>1229.8058741517439</v>
      </c>
      <c r="R91" s="184">
        <v>1214.8463542488153</v>
      </c>
      <c r="S91" s="184">
        <v>1212.2856055648699</v>
      </c>
      <c r="T91" s="184">
        <v>1171.0846755688196</v>
      </c>
      <c r="U91" s="184">
        <v>1185.7482781043718</v>
      </c>
      <c r="V91" s="184">
        <v>1100.0469361151802</v>
      </c>
      <c r="W91" s="184">
        <v>1151.932746990519</v>
      </c>
      <c r="X91" s="184">
        <v>1116.420799420612</v>
      </c>
      <c r="Y91" s="184">
        <v>1231.5872943327072</v>
      </c>
      <c r="Z91" s="184">
        <v>1281.962257691257</v>
      </c>
      <c r="AA91" s="184">
        <v>1349.3527487238186</v>
      </c>
    </row>
    <row r="92" spans="1:27" x14ac:dyDescent="0.2">
      <c r="A92" s="219" t="s">
        <v>1247</v>
      </c>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c r="AA92" s="221"/>
    </row>
    <row r="93" spans="1:27" x14ac:dyDescent="0.2">
      <c r="A93" s="217" t="s">
        <v>1185</v>
      </c>
      <c r="B93" s="218">
        <v>3.1889968394641373</v>
      </c>
      <c r="C93" s="218">
        <v>3.2101566814716462</v>
      </c>
      <c r="D93" s="218">
        <v>3.1840045587220458</v>
      </c>
      <c r="E93" s="218">
        <v>3.203613188770305</v>
      </c>
      <c r="F93" s="218">
        <v>3.2940859876893493</v>
      </c>
      <c r="G93" s="218">
        <v>3.2438573074877355</v>
      </c>
      <c r="H93" s="218">
        <v>3.1097648652357108</v>
      </c>
      <c r="I93" s="218">
        <v>3.2157060876357222</v>
      </c>
      <c r="J93" s="218">
        <v>3.3068015561440425</v>
      </c>
      <c r="K93" s="218">
        <v>3.2341567707284855</v>
      </c>
      <c r="L93" s="218">
        <v>3.2658146035306332</v>
      </c>
      <c r="M93" s="218">
        <v>3.167902541623921</v>
      </c>
      <c r="N93" s="218">
        <v>3.3099695242298335</v>
      </c>
      <c r="O93" s="218">
        <v>3.293517938239483</v>
      </c>
      <c r="P93" s="218">
        <v>3.3099913722855976</v>
      </c>
      <c r="Q93" s="218">
        <v>3.2823208096603933</v>
      </c>
      <c r="R93" s="218">
        <v>3.2807477496453803</v>
      </c>
      <c r="S93" s="218">
        <v>3.2888533783338532</v>
      </c>
      <c r="T93" s="218">
        <v>3.3119576973043645</v>
      </c>
      <c r="U93" s="218">
        <v>3.3271639441161622</v>
      </c>
      <c r="V93" s="218">
        <v>3.3296983185847955</v>
      </c>
      <c r="W93" s="218">
        <v>3.3324511736110689</v>
      </c>
      <c r="X93" s="218">
        <v>3.3137055417654908</v>
      </c>
      <c r="Y93" s="218">
        <v>3.308090591434123</v>
      </c>
      <c r="Z93" s="218">
        <v>3.2972430317472585</v>
      </c>
      <c r="AA93" s="218">
        <v>3.2909398676593224</v>
      </c>
    </row>
    <row r="94" spans="1:27" x14ac:dyDescent="0.2">
      <c r="A94" s="207" t="s">
        <v>1248</v>
      </c>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1"/>
    </row>
    <row r="95" spans="1:27" x14ac:dyDescent="0.2">
      <c r="A95" s="213" t="s">
        <v>1249</v>
      </c>
      <c r="B95" s="193">
        <v>1098.3592805162218</v>
      </c>
      <c r="C95" s="193">
        <v>1105.647186404241</v>
      </c>
      <c r="D95" s="193">
        <v>1096.6398313727914</v>
      </c>
      <c r="E95" s="193">
        <v>1061.1518955544268</v>
      </c>
      <c r="F95" s="193">
        <v>1026.0780063269744</v>
      </c>
      <c r="G95" s="193">
        <v>991.41816369043477</v>
      </c>
      <c r="H95" s="193">
        <v>957.17236764480776</v>
      </c>
      <c r="I95" s="193">
        <v>923.34061819009332</v>
      </c>
      <c r="J95" s="193">
        <v>889.92291532629145</v>
      </c>
      <c r="K95" s="193">
        <v>856.91925905340213</v>
      </c>
      <c r="L95" s="193">
        <v>824.32964937142549</v>
      </c>
      <c r="M95" s="193">
        <v>792.15408628036153</v>
      </c>
      <c r="N95" s="193">
        <v>760.39256978021001</v>
      </c>
      <c r="O95" s="193">
        <v>729.04509987097117</v>
      </c>
      <c r="P95" s="193">
        <v>698.11167655264489</v>
      </c>
      <c r="Q95" s="193">
        <v>667.59229982523141</v>
      </c>
      <c r="R95" s="193">
        <v>637.48696968873037</v>
      </c>
      <c r="S95" s="193">
        <v>607.79568614314189</v>
      </c>
      <c r="T95" s="193">
        <v>578.51844918846621</v>
      </c>
      <c r="U95" s="193">
        <v>549.65525882470297</v>
      </c>
      <c r="V95" s="193">
        <v>521.20611505185241</v>
      </c>
      <c r="W95" s="193">
        <v>493.17101786991486</v>
      </c>
      <c r="X95" s="193">
        <v>495.98114049586769</v>
      </c>
      <c r="Y95" s="193">
        <v>536.00902093161744</v>
      </c>
      <c r="Z95" s="193">
        <v>574.27930979206042</v>
      </c>
      <c r="AA95" s="193">
        <v>572.43708783755665</v>
      </c>
    </row>
    <row r="96" spans="1:27" ht="24" x14ac:dyDescent="0.2">
      <c r="A96" s="212" t="s">
        <v>1250</v>
      </c>
      <c r="B96" s="196" t="s">
        <v>1234</v>
      </c>
      <c r="C96" s="196" t="s">
        <v>1234</v>
      </c>
      <c r="D96" s="196" t="s">
        <v>1234</v>
      </c>
      <c r="E96" s="196" t="s">
        <v>1234</v>
      </c>
      <c r="F96" s="196" t="s">
        <v>1234</v>
      </c>
      <c r="G96" s="196" t="s">
        <v>1234</v>
      </c>
      <c r="H96" s="196" t="s">
        <v>1234</v>
      </c>
      <c r="I96" s="196" t="s">
        <v>1234</v>
      </c>
      <c r="J96" s="196" t="s">
        <v>1234</v>
      </c>
      <c r="K96" s="196" t="s">
        <v>1234</v>
      </c>
      <c r="L96" s="196" t="s">
        <v>1234</v>
      </c>
      <c r="M96" s="196" t="s">
        <v>1234</v>
      </c>
      <c r="N96" s="196" t="s">
        <v>1234</v>
      </c>
      <c r="O96" s="196" t="s">
        <v>1234</v>
      </c>
      <c r="P96" s="196" t="s">
        <v>1234</v>
      </c>
      <c r="Q96" s="196" t="s">
        <v>1234</v>
      </c>
      <c r="R96" s="196" t="s">
        <v>1234</v>
      </c>
      <c r="S96" s="196" t="s">
        <v>1234</v>
      </c>
      <c r="T96" s="196" t="s">
        <v>1234</v>
      </c>
      <c r="U96" s="196" t="s">
        <v>1234</v>
      </c>
      <c r="V96" s="196" t="s">
        <v>1234</v>
      </c>
      <c r="W96" s="196">
        <v>94.842879999999994</v>
      </c>
      <c r="X96" s="196">
        <v>101.56799999999998</v>
      </c>
      <c r="Y96" s="196">
        <v>109.71135999999998</v>
      </c>
      <c r="Z96" s="196">
        <v>117.59616</v>
      </c>
      <c r="AA96" s="196">
        <v>117.37087999999999</v>
      </c>
    </row>
    <row r="97" spans="1:27" x14ac:dyDescent="0.2">
      <c r="A97" s="212" t="s">
        <v>1251</v>
      </c>
      <c r="B97" s="196" t="s">
        <v>1234</v>
      </c>
      <c r="C97" s="196" t="s">
        <v>1234</v>
      </c>
      <c r="D97" s="196" t="s">
        <v>1234</v>
      </c>
      <c r="E97" s="196" t="s">
        <v>1234</v>
      </c>
      <c r="F97" s="196" t="s">
        <v>1234</v>
      </c>
      <c r="G97" s="196" t="s">
        <v>1234</v>
      </c>
      <c r="H97" s="196" t="s">
        <v>1234</v>
      </c>
      <c r="I97" s="196" t="s">
        <v>1234</v>
      </c>
      <c r="J97" s="196" t="s">
        <v>1234</v>
      </c>
      <c r="K97" s="196" t="s">
        <v>1234</v>
      </c>
      <c r="L97" s="196" t="s">
        <v>1234</v>
      </c>
      <c r="M97" s="196" t="s">
        <v>1234</v>
      </c>
      <c r="N97" s="196" t="s">
        <v>1234</v>
      </c>
      <c r="O97" s="196" t="s">
        <v>1234</v>
      </c>
      <c r="P97" s="196" t="s">
        <v>1234</v>
      </c>
      <c r="Q97" s="196" t="s">
        <v>1234</v>
      </c>
      <c r="R97" s="196" t="s">
        <v>1234</v>
      </c>
      <c r="S97" s="196" t="s">
        <v>1234</v>
      </c>
      <c r="T97" s="196" t="s">
        <v>1234</v>
      </c>
      <c r="U97" s="196" t="s">
        <v>1234</v>
      </c>
      <c r="V97" s="196" t="s">
        <v>1234</v>
      </c>
      <c r="W97" s="196">
        <v>301.59440491280498</v>
      </c>
      <c r="X97" s="196">
        <v>293.67</v>
      </c>
      <c r="Y97" s="196">
        <v>317.21541323251409</v>
      </c>
      <c r="Z97" s="196">
        <v>340.01323553875233</v>
      </c>
      <c r="AA97" s="196">
        <v>339.36186918714554</v>
      </c>
    </row>
    <row r="98" spans="1:27" ht="12" customHeight="1" x14ac:dyDescent="0.2">
      <c r="A98" s="212" t="s">
        <v>1252</v>
      </c>
      <c r="B98" s="196" t="s">
        <v>1234</v>
      </c>
      <c r="C98" s="196" t="s">
        <v>1234</v>
      </c>
      <c r="D98" s="196" t="s">
        <v>1234</v>
      </c>
      <c r="E98" s="196" t="s">
        <v>1234</v>
      </c>
      <c r="F98" s="196" t="s">
        <v>1234</v>
      </c>
      <c r="G98" s="196" t="s">
        <v>1234</v>
      </c>
      <c r="H98" s="196" t="s">
        <v>1234</v>
      </c>
      <c r="I98" s="196" t="s">
        <v>1234</v>
      </c>
      <c r="J98" s="196" t="s">
        <v>1234</v>
      </c>
      <c r="K98" s="196" t="s">
        <v>1234</v>
      </c>
      <c r="L98" s="196" t="s">
        <v>1234</v>
      </c>
      <c r="M98" s="196" t="s">
        <v>1234</v>
      </c>
      <c r="N98" s="196" t="s">
        <v>1234</v>
      </c>
      <c r="O98" s="196" t="s">
        <v>1234</v>
      </c>
      <c r="P98" s="196" t="s">
        <v>1234</v>
      </c>
      <c r="Q98" s="196" t="s">
        <v>1234</v>
      </c>
      <c r="R98" s="196" t="s">
        <v>1234</v>
      </c>
      <c r="S98" s="196" t="s">
        <v>1234</v>
      </c>
      <c r="T98" s="196" t="s">
        <v>1234</v>
      </c>
      <c r="U98" s="196" t="s">
        <v>1234</v>
      </c>
      <c r="V98" s="196" t="s">
        <v>1234</v>
      </c>
      <c r="W98" s="196">
        <v>47.075376899743375</v>
      </c>
      <c r="X98" s="196">
        <v>51.065564738292004</v>
      </c>
      <c r="Y98" s="196">
        <v>55.90181716804365</v>
      </c>
      <c r="Z98" s="196">
        <v>59.205628128544419</v>
      </c>
      <c r="AA98" s="196">
        <v>56.989675661566686</v>
      </c>
    </row>
    <row r="99" spans="1:27" ht="12" customHeight="1" x14ac:dyDescent="0.2">
      <c r="A99" s="206" t="s">
        <v>1253</v>
      </c>
      <c r="B99" s="195" t="s">
        <v>1234</v>
      </c>
      <c r="C99" s="195" t="s">
        <v>1234</v>
      </c>
      <c r="D99" s="195" t="s">
        <v>1234</v>
      </c>
      <c r="E99" s="195" t="s">
        <v>1234</v>
      </c>
      <c r="F99" s="195" t="s">
        <v>1234</v>
      </c>
      <c r="G99" s="195" t="s">
        <v>1234</v>
      </c>
      <c r="H99" s="195" t="s">
        <v>1234</v>
      </c>
      <c r="I99" s="195" t="s">
        <v>1234</v>
      </c>
      <c r="J99" s="195" t="s">
        <v>1234</v>
      </c>
      <c r="K99" s="195" t="s">
        <v>1234</v>
      </c>
      <c r="L99" s="195" t="s">
        <v>1234</v>
      </c>
      <c r="M99" s="195" t="s">
        <v>1234</v>
      </c>
      <c r="N99" s="195" t="s">
        <v>1234</v>
      </c>
      <c r="O99" s="195" t="s">
        <v>1234</v>
      </c>
      <c r="P99" s="195" t="s">
        <v>1234</v>
      </c>
      <c r="Q99" s="195" t="s">
        <v>1234</v>
      </c>
      <c r="R99" s="195" t="s">
        <v>1234</v>
      </c>
      <c r="S99" s="195" t="s">
        <v>1234</v>
      </c>
      <c r="T99" s="195" t="s">
        <v>1234</v>
      </c>
      <c r="U99" s="195" t="s">
        <v>1234</v>
      </c>
      <c r="V99" s="195" t="s">
        <v>1234</v>
      </c>
      <c r="W99" s="195">
        <v>49.658356057366468</v>
      </c>
      <c r="X99" s="195">
        <v>49.677575757575752</v>
      </c>
      <c r="Y99" s="195">
        <v>53.180430531059784</v>
      </c>
      <c r="Z99" s="195">
        <v>57.464286124763696</v>
      </c>
      <c r="AA99" s="195">
        <v>58.714662988844267</v>
      </c>
    </row>
    <row r="100" spans="1:27" x14ac:dyDescent="0.2">
      <c r="A100" s="207" t="s">
        <v>1254</v>
      </c>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1"/>
    </row>
    <row r="101" spans="1:27" x14ac:dyDescent="0.2">
      <c r="A101" s="213" t="s">
        <v>1249</v>
      </c>
      <c r="B101" s="193">
        <v>245.59417539197364</v>
      </c>
      <c r="C101" s="193">
        <v>254.78496131736648</v>
      </c>
      <c r="D101" s="193">
        <v>262.30190398380006</v>
      </c>
      <c r="E101" s="193">
        <v>254.10954127543016</v>
      </c>
      <c r="F101" s="193">
        <v>246.02046536207166</v>
      </c>
      <c r="G101" s="193">
        <v>238.0346762437245</v>
      </c>
      <c r="H101" s="193">
        <v>230.15217392038875</v>
      </c>
      <c r="I101" s="193">
        <v>222.37295839206428</v>
      </c>
      <c r="J101" s="193">
        <v>214.69702965875123</v>
      </c>
      <c r="K101" s="193">
        <v>207.12438772044948</v>
      </c>
      <c r="L101" s="193">
        <v>199.65503257715915</v>
      </c>
      <c r="M101" s="193">
        <v>192.28896422888013</v>
      </c>
      <c r="N101" s="193">
        <v>185.02618267561246</v>
      </c>
      <c r="O101" s="193">
        <v>177.86668791735616</v>
      </c>
      <c r="P101" s="193">
        <v>170.81047995411117</v>
      </c>
      <c r="Q101" s="193">
        <v>163.85755878587767</v>
      </c>
      <c r="R101" s="193">
        <v>159.78637844445066</v>
      </c>
      <c r="S101" s="193">
        <v>153.24427472501668</v>
      </c>
      <c r="T101" s="193">
        <v>151.01166142590225</v>
      </c>
      <c r="U101" s="193">
        <v>145.96522161474635</v>
      </c>
      <c r="V101" s="193">
        <v>140.89121483200375</v>
      </c>
      <c r="W101" s="193">
        <v>136.47544734574359</v>
      </c>
      <c r="X101" s="193">
        <v>130.98962</v>
      </c>
      <c r="Y101" s="193">
        <v>131.64785929648238</v>
      </c>
      <c r="Z101" s="193">
        <v>131.64785929648238</v>
      </c>
      <c r="AA101" s="193">
        <v>129.01490211055275</v>
      </c>
    </row>
    <row r="102" spans="1:27" ht="24" x14ac:dyDescent="0.2">
      <c r="A102" s="212" t="s">
        <v>1250</v>
      </c>
      <c r="B102" s="196" t="s">
        <v>1234</v>
      </c>
      <c r="C102" s="196" t="s">
        <v>1234</v>
      </c>
      <c r="D102" s="196" t="s">
        <v>1234</v>
      </c>
      <c r="E102" s="196" t="s">
        <v>1234</v>
      </c>
      <c r="F102" s="196" t="s">
        <v>1234</v>
      </c>
      <c r="G102" s="196" t="s">
        <v>1234</v>
      </c>
      <c r="H102" s="196" t="s">
        <v>1234</v>
      </c>
      <c r="I102" s="196" t="s">
        <v>1234</v>
      </c>
      <c r="J102" s="196" t="s">
        <v>1234</v>
      </c>
      <c r="K102" s="196" t="s">
        <v>1234</v>
      </c>
      <c r="L102" s="196" t="s">
        <v>1234</v>
      </c>
      <c r="M102" s="196" t="s">
        <v>1234</v>
      </c>
      <c r="N102" s="196" t="s">
        <v>1234</v>
      </c>
      <c r="O102" s="196" t="s">
        <v>1234</v>
      </c>
      <c r="P102" s="196" t="s">
        <v>1234</v>
      </c>
      <c r="Q102" s="196" t="s">
        <v>1234</v>
      </c>
      <c r="R102" s="196" t="s">
        <v>1234</v>
      </c>
      <c r="S102" s="196" t="s">
        <v>1234</v>
      </c>
      <c r="T102" s="196" t="s">
        <v>1234</v>
      </c>
      <c r="U102" s="196" t="s">
        <v>1234</v>
      </c>
      <c r="V102" s="196" t="s">
        <v>1234</v>
      </c>
      <c r="W102" s="196" t="s">
        <v>1234</v>
      </c>
      <c r="X102" s="196">
        <v>25.149619999999999</v>
      </c>
      <c r="Y102" s="196">
        <v>25.276</v>
      </c>
      <c r="Z102" s="196">
        <v>25.276</v>
      </c>
      <c r="AA102" s="196">
        <v>24.770479999999999</v>
      </c>
    </row>
    <row r="103" spans="1:27" x14ac:dyDescent="0.2">
      <c r="A103" s="212" t="s">
        <v>1251</v>
      </c>
      <c r="B103" s="196" t="s">
        <v>1234</v>
      </c>
      <c r="C103" s="196" t="s">
        <v>1234</v>
      </c>
      <c r="D103" s="196" t="s">
        <v>1234</v>
      </c>
      <c r="E103" s="196" t="s">
        <v>1234</v>
      </c>
      <c r="F103" s="196" t="s">
        <v>1234</v>
      </c>
      <c r="G103" s="196" t="s">
        <v>1234</v>
      </c>
      <c r="H103" s="196" t="s">
        <v>1234</v>
      </c>
      <c r="I103" s="196" t="s">
        <v>1234</v>
      </c>
      <c r="J103" s="196" t="s">
        <v>1234</v>
      </c>
      <c r="K103" s="196" t="s">
        <v>1234</v>
      </c>
      <c r="L103" s="196" t="s">
        <v>1234</v>
      </c>
      <c r="M103" s="196" t="s">
        <v>1234</v>
      </c>
      <c r="N103" s="196" t="s">
        <v>1234</v>
      </c>
      <c r="O103" s="196" t="s">
        <v>1234</v>
      </c>
      <c r="P103" s="196" t="s">
        <v>1234</v>
      </c>
      <c r="Q103" s="196" t="s">
        <v>1234</v>
      </c>
      <c r="R103" s="196" t="s">
        <v>1234</v>
      </c>
      <c r="S103" s="196" t="s">
        <v>1234</v>
      </c>
      <c r="T103" s="196" t="s">
        <v>1234</v>
      </c>
      <c r="U103" s="196" t="s">
        <v>1234</v>
      </c>
      <c r="V103" s="196" t="s">
        <v>1234</v>
      </c>
      <c r="W103" s="196" t="s">
        <v>1234</v>
      </c>
      <c r="X103" s="196">
        <v>105.83999999999999</v>
      </c>
      <c r="Y103" s="196">
        <v>106.37185929648241</v>
      </c>
      <c r="Z103" s="196">
        <v>106.37185929648241</v>
      </c>
      <c r="AA103" s="196">
        <v>104.24442211055273</v>
      </c>
    </row>
    <row r="104" spans="1:27" x14ac:dyDescent="0.2">
      <c r="A104" s="212" t="s">
        <v>1255</v>
      </c>
      <c r="B104" s="196">
        <v>13.564994766371111</v>
      </c>
      <c r="C104" s="196">
        <v>14.072632876183</v>
      </c>
      <c r="D104" s="196">
        <v>14.487818976450001</v>
      </c>
      <c r="E104" s="196">
        <v>15.310678621027794</v>
      </c>
      <c r="F104" s="196">
        <v>14.974766666938434</v>
      </c>
      <c r="G104" s="196">
        <v>14.98284760706238</v>
      </c>
      <c r="H104" s="196">
        <v>16.19096051176918</v>
      </c>
      <c r="I104" s="196">
        <v>15.395092937070205</v>
      </c>
      <c r="J104" s="196">
        <v>13.963333218535672</v>
      </c>
      <c r="K104" s="196">
        <v>14.597810580040669</v>
      </c>
      <c r="L104" s="196">
        <v>15.433418710815516</v>
      </c>
      <c r="M104" s="196">
        <v>14.738881059237976</v>
      </c>
      <c r="N104" s="196">
        <v>15.101775816072985</v>
      </c>
      <c r="O104" s="196">
        <v>15.690340710811109</v>
      </c>
      <c r="P104" s="196">
        <v>15.039930058343078</v>
      </c>
      <c r="Q104" s="196">
        <v>14.910122234991293</v>
      </c>
      <c r="R104" s="196">
        <v>13.494385389707102</v>
      </c>
      <c r="S104" s="196">
        <v>14.586467609041009</v>
      </c>
      <c r="T104" s="196">
        <v>15.111605155321604</v>
      </c>
      <c r="U104" s="196">
        <v>14.762543139264501</v>
      </c>
      <c r="V104" s="196">
        <v>14.771810272434157</v>
      </c>
      <c r="W104" s="196">
        <v>14.561755253921921</v>
      </c>
      <c r="X104" s="196">
        <v>12.819534218026298</v>
      </c>
      <c r="Y104" s="196">
        <v>15.127050377271033</v>
      </c>
      <c r="Z104" s="196">
        <v>15.713968811349341</v>
      </c>
      <c r="AA104" s="196">
        <v>92.590494637373794</v>
      </c>
    </row>
    <row r="105" spans="1:27" x14ac:dyDescent="0.2">
      <c r="A105" s="212" t="s">
        <v>1256</v>
      </c>
      <c r="B105" s="196">
        <v>72.780991857738215</v>
      </c>
      <c r="C105" s="196">
        <v>73.263913091714201</v>
      </c>
      <c r="D105" s="196">
        <v>72.667055355968955</v>
      </c>
      <c r="E105" s="196">
        <v>73.114574000773757</v>
      </c>
      <c r="F105" s="196">
        <v>75.179392617082016</v>
      </c>
      <c r="G105" s="196">
        <v>74.033046807158641</v>
      </c>
      <c r="H105" s="196">
        <v>70.972717355916942</v>
      </c>
      <c r="I105" s="196">
        <v>73.390564607904068</v>
      </c>
      <c r="J105" s="196">
        <v>75.469594122682452</v>
      </c>
      <c r="K105" s="196">
        <v>73.811655967834611</v>
      </c>
      <c r="L105" s="196">
        <v>74.534167963736721</v>
      </c>
      <c r="M105" s="196">
        <v>72.299566507811718</v>
      </c>
      <c r="N105" s="196">
        <v>75.541895185074324</v>
      </c>
      <c r="O105" s="196">
        <v>75.166428288653123</v>
      </c>
      <c r="P105" s="196">
        <v>75.542393813090825</v>
      </c>
      <c r="Q105" s="196">
        <v>74.910881430199154</v>
      </c>
      <c r="R105" s="196">
        <v>74.874980213011455</v>
      </c>
      <c r="S105" s="196">
        <v>75.059971207131326</v>
      </c>
      <c r="T105" s="196">
        <v>75.587270334575408</v>
      </c>
      <c r="U105" s="196">
        <v>75.934315434056359</v>
      </c>
      <c r="V105" s="196">
        <v>75.992156283969848</v>
      </c>
      <c r="W105" s="196">
        <v>76.05498341404828</v>
      </c>
      <c r="X105" s="196">
        <v>75.627160575895061</v>
      </c>
      <c r="Y105" s="196">
        <v>75.499013175655691</v>
      </c>
      <c r="Z105" s="196">
        <v>75.251444365465616</v>
      </c>
      <c r="AA105" s="196">
        <v>75.107590182706673</v>
      </c>
    </row>
    <row r="106" spans="1:27" x14ac:dyDescent="0.2">
      <c r="A106" s="206" t="s">
        <v>1257</v>
      </c>
      <c r="B106" s="195">
        <v>16.900240225121735</v>
      </c>
      <c r="C106" s="195">
        <v>17.012377812913332</v>
      </c>
      <c r="D106" s="195">
        <v>16.873783396200331</v>
      </c>
      <c r="E106" s="195">
        <v>16.977700262532757</v>
      </c>
      <c r="F106" s="195">
        <v>17.457165157777972</v>
      </c>
      <c r="G106" s="195">
        <v>17.19097588123396</v>
      </c>
      <c r="H106" s="195">
        <v>16.480346614253165</v>
      </c>
      <c r="I106" s="195">
        <v>17.041787154471475</v>
      </c>
      <c r="J106" s="195">
        <v>17.524551916781277</v>
      </c>
      <c r="K106" s="195">
        <v>17.139567425911849</v>
      </c>
      <c r="L106" s="195">
        <v>17.307339614564423</v>
      </c>
      <c r="M106" s="195">
        <v>16.788449991757997</v>
      </c>
      <c r="N106" s="195">
        <v>17.541340714127465</v>
      </c>
      <c r="O106" s="195">
        <v>17.454154752736581</v>
      </c>
      <c r="P106" s="195">
        <v>17.541456498936753</v>
      </c>
      <c r="Q106" s="195">
        <v>17.39481503797851</v>
      </c>
      <c r="R106" s="195">
        <v>17.386478531710058</v>
      </c>
      <c r="S106" s="195">
        <v>17.429434695954441</v>
      </c>
      <c r="T106" s="195">
        <v>17.551877131772315</v>
      </c>
      <c r="U106" s="195">
        <v>17.632463359034006</v>
      </c>
      <c r="V106" s="195">
        <v>17.645894396910958</v>
      </c>
      <c r="W106" s="195">
        <v>17.660483282880744</v>
      </c>
      <c r="X106" s="195">
        <v>17.561139916515039</v>
      </c>
      <c r="Y106" s="195">
        <v>17.531383220529037</v>
      </c>
      <c r="Z106" s="195">
        <v>17.473896062719511</v>
      </c>
      <c r="AA106" s="195">
        <v>17.440492145241066</v>
      </c>
    </row>
    <row r="107" spans="1:27" x14ac:dyDescent="0.2">
      <c r="A107" s="186" t="s">
        <v>1186</v>
      </c>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8"/>
    </row>
    <row r="108" spans="1:27" x14ac:dyDescent="0.2">
      <c r="A108" s="207" t="s">
        <v>1258</v>
      </c>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1"/>
    </row>
    <row r="109" spans="1:27" x14ac:dyDescent="0.2">
      <c r="A109" s="213" t="s">
        <v>1259</v>
      </c>
      <c r="B109" s="193">
        <v>1.9938685000417575</v>
      </c>
      <c r="C109" s="193">
        <v>2.0070983477238018</v>
      </c>
      <c r="D109" s="193">
        <v>1.9907471575581774</v>
      </c>
      <c r="E109" s="193">
        <v>1.9757131079550001</v>
      </c>
      <c r="F109" s="193">
        <v>1.9606790583518237</v>
      </c>
      <c r="G109" s="193">
        <v>1.9456450087486468</v>
      </c>
      <c r="H109" s="193">
        <v>1.9306109591454699</v>
      </c>
      <c r="I109" s="193">
        <v>1.9155769095422928</v>
      </c>
      <c r="J109" s="193">
        <v>1.9005428599391156</v>
      </c>
      <c r="K109" s="193">
        <v>1.8855088103359388</v>
      </c>
      <c r="L109" s="193">
        <v>1.8704747607327616</v>
      </c>
      <c r="M109" s="193">
        <v>1.8554407111295845</v>
      </c>
      <c r="N109" s="193">
        <v>1.8404066615264079</v>
      </c>
      <c r="O109" s="193">
        <v>1.825372611923231</v>
      </c>
      <c r="P109" s="193">
        <v>1.8103385623200541</v>
      </c>
      <c r="Q109" s="193">
        <v>1.7953045127168767</v>
      </c>
      <c r="R109" s="193">
        <v>1.7802704631137001</v>
      </c>
      <c r="S109" s="193">
        <v>1.7652364135105234</v>
      </c>
      <c r="T109" s="193">
        <v>1.7502023639073458</v>
      </c>
      <c r="U109" s="193">
        <v>1.7351683143041692</v>
      </c>
      <c r="V109" s="193">
        <v>1.7201342647009921</v>
      </c>
      <c r="W109" s="193">
        <v>1.7051002150978163</v>
      </c>
      <c r="X109" s="193">
        <v>1.8260054802959911</v>
      </c>
      <c r="Y109" s="193">
        <v>1.972408087298424</v>
      </c>
      <c r="Z109" s="193">
        <v>2.1141622619502614</v>
      </c>
      <c r="AA109" s="193">
        <v>2.1101121426744944</v>
      </c>
    </row>
    <row r="110" spans="1:27" x14ac:dyDescent="0.2">
      <c r="A110" s="206" t="s">
        <v>1260</v>
      </c>
      <c r="B110" s="195">
        <v>4.2262638990719505</v>
      </c>
      <c r="C110" s="195">
        <v>4.3844219119751182</v>
      </c>
      <c r="D110" s="195">
        <v>4.5137758894130542</v>
      </c>
      <c r="E110" s="195">
        <v>4.7701432577590879</v>
      </c>
      <c r="F110" s="195">
        <v>4.6654876652369293</v>
      </c>
      <c r="G110" s="195">
        <v>4.6680053356160611</v>
      </c>
      <c r="H110" s="195">
        <v>5.0444009069452198</v>
      </c>
      <c r="I110" s="195">
        <v>4.7964430966163309</v>
      </c>
      <c r="J110" s="195">
        <v>4.3503688802377969</v>
      </c>
      <c r="K110" s="195">
        <v>4.5480445014886497</v>
      </c>
      <c r="L110" s="195">
        <v>4.8083837450849449</v>
      </c>
      <c r="M110" s="195">
        <v>4.5919959429543269</v>
      </c>
      <c r="N110" s="195">
        <v>4.7050582062569593</v>
      </c>
      <c r="O110" s="195">
        <v>4.888429494615977</v>
      </c>
      <c r="P110" s="195">
        <v>4.6857897511114679</v>
      </c>
      <c r="Q110" s="195">
        <v>4.6453472646160963</v>
      </c>
      <c r="R110" s="195">
        <v>4.204265080445726</v>
      </c>
      <c r="S110" s="195">
        <v>4.5445105238005103</v>
      </c>
      <c r="T110" s="195">
        <v>4.7081206019551249</v>
      </c>
      <c r="U110" s="195">
        <v>4.5993680205935279</v>
      </c>
      <c r="V110" s="195">
        <v>4.6022552572668447</v>
      </c>
      <c r="W110" s="195">
        <v>4.5368112260050006</v>
      </c>
      <c r="X110" s="195">
        <v>3.994010731421457</v>
      </c>
      <c r="Y110" s="195">
        <v>4.7129326630773196</v>
      </c>
      <c r="Z110" s="195">
        <v>4.8957909857207094</v>
      </c>
      <c r="AA110" s="195">
        <v>4.4367203546633531</v>
      </c>
    </row>
    <row r="111" spans="1:27" x14ac:dyDescent="0.2">
      <c r="A111" s="207" t="s">
        <v>1239</v>
      </c>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1"/>
    </row>
    <row r="112" spans="1:27" x14ac:dyDescent="0.2">
      <c r="A112" s="213" t="s">
        <v>1261</v>
      </c>
      <c r="B112" s="193">
        <v>176.92070661714274</v>
      </c>
      <c r="C112" s="193">
        <v>180.50562537965774</v>
      </c>
      <c r="D112" s="193">
        <v>186.652512</v>
      </c>
      <c r="E112" s="193">
        <v>191.83470907007296</v>
      </c>
      <c r="F112" s="193">
        <v>196.05396055503113</v>
      </c>
      <c r="G112" s="193">
        <v>204.91026774837457</v>
      </c>
      <c r="H112" s="193">
        <v>208.6214163696869</v>
      </c>
      <c r="I112" s="193">
        <v>209.80493202385819</v>
      </c>
      <c r="J112" s="193">
        <v>205.27075180492682</v>
      </c>
      <c r="K112" s="193">
        <v>206.73969642270748</v>
      </c>
      <c r="L112" s="193">
        <v>215.30238078441434</v>
      </c>
      <c r="M112" s="193">
        <v>205.20309702972938</v>
      </c>
      <c r="N112" s="193">
        <v>212.29331193403121</v>
      </c>
      <c r="O112" s="193">
        <v>205.5526097922677</v>
      </c>
      <c r="P112" s="193">
        <v>206.590435151077</v>
      </c>
      <c r="Q112" s="193">
        <v>203.09900768456592</v>
      </c>
      <c r="R112" s="193">
        <v>200.09131370618289</v>
      </c>
      <c r="S112" s="193">
        <v>213.18820596880752</v>
      </c>
      <c r="T112" s="193">
        <v>214.78453386149295</v>
      </c>
      <c r="U112" s="193">
        <v>211.39810417007365</v>
      </c>
      <c r="V112" s="193">
        <v>222.25867023765008</v>
      </c>
      <c r="W112" s="193">
        <v>225.85732849283681</v>
      </c>
      <c r="X112" s="193">
        <v>235.64752441271671</v>
      </c>
      <c r="Y112" s="193">
        <v>241.34078631899936</v>
      </c>
      <c r="Z112" s="193">
        <v>245.38235635943988</v>
      </c>
      <c r="AA112" s="193">
        <v>251.96144183623005</v>
      </c>
    </row>
    <row r="113" spans="1:27" x14ac:dyDescent="0.2">
      <c r="A113" s="212" t="s">
        <v>1262</v>
      </c>
      <c r="B113" s="196">
        <v>1.002599961517683</v>
      </c>
      <c r="C113" s="196">
        <v>1.0229154999420211</v>
      </c>
      <c r="D113" s="196">
        <v>1.0577495700000001</v>
      </c>
      <c r="E113" s="196">
        <v>1.0871167971741242</v>
      </c>
      <c r="F113" s="196">
        <v>1.1110270644194766</v>
      </c>
      <c r="G113" s="196">
        <v>1.1612152725778913</v>
      </c>
      <c r="H113" s="196">
        <v>1.1822461487034652</v>
      </c>
      <c r="I113" s="196">
        <v>1.1889530671417659</v>
      </c>
      <c r="J113" s="196">
        <v>1.163258115997057</v>
      </c>
      <c r="K113" s="196">
        <v>1.1715825447505868</v>
      </c>
      <c r="L113" s="196">
        <v>1.2201068083921127</v>
      </c>
      <c r="M113" s="196">
        <v>1.1628747200887632</v>
      </c>
      <c r="N113" s="196">
        <v>1.2030545799035235</v>
      </c>
      <c r="O113" s="196">
        <v>1.1648553897852121</v>
      </c>
      <c r="P113" s="196">
        <v>1.1707366892933353</v>
      </c>
      <c r="Q113" s="196">
        <v>1.1509509609266673</v>
      </c>
      <c r="R113" s="196">
        <v>1.1339065237624557</v>
      </c>
      <c r="S113" s="196">
        <v>1.2081258954209928</v>
      </c>
      <c r="T113" s="196">
        <v>1.2171721982217127</v>
      </c>
      <c r="U113" s="196">
        <v>1.1979814864999545</v>
      </c>
      <c r="V113" s="196">
        <v>1.2595277200054302</v>
      </c>
      <c r="W113" s="196">
        <v>1.2799211193827755</v>
      </c>
      <c r="X113" s="196">
        <v>1.3354016238426818</v>
      </c>
      <c r="Y113" s="196">
        <v>1.3676650274729947</v>
      </c>
      <c r="Z113" s="196">
        <v>1.3905683836967826</v>
      </c>
      <c r="AA113" s="196">
        <v>1.4278517010199805</v>
      </c>
    </row>
    <row r="114" spans="1:27" x14ac:dyDescent="0.2">
      <c r="A114" s="212" t="s">
        <v>1263</v>
      </c>
      <c r="B114" s="196">
        <v>21.302263554024773</v>
      </c>
      <c r="C114" s="196">
        <v>22.099450798953789</v>
      </c>
      <c r="D114" s="196">
        <v>22.751452800000003</v>
      </c>
      <c r="E114" s="196">
        <v>24.043659197323706</v>
      </c>
      <c r="F114" s="196">
        <v>23.51614812192701</v>
      </c>
      <c r="G114" s="196">
        <v>23.528838308635471</v>
      </c>
      <c r="H114" s="196">
        <v>25.426040625505021</v>
      </c>
      <c r="I114" s="196">
        <v>24.176222168341294</v>
      </c>
      <c r="J114" s="196">
        <v>21.927808262139823</v>
      </c>
      <c r="K114" s="196">
        <v>22.924181958305823</v>
      </c>
      <c r="L114" s="196">
        <v>24.236408386419207</v>
      </c>
      <c r="M114" s="196">
        <v>23.145716914957902</v>
      </c>
      <c r="N114" s="196">
        <v>23.715601377548161</v>
      </c>
      <c r="O114" s="196">
        <v>24.639874827136261</v>
      </c>
      <c r="P114" s="196">
        <v>23.618479730724758</v>
      </c>
      <c r="Q114" s="196">
        <v>23.414631479248158</v>
      </c>
      <c r="R114" s="196">
        <v>21.19137965196747</v>
      </c>
      <c r="S114" s="196">
        <v>22.906369127421481</v>
      </c>
      <c r="T114" s="196">
        <v>23.731037223919074</v>
      </c>
      <c r="U114" s="196">
        <v>23.182875489188323</v>
      </c>
      <c r="V114" s="196">
        <v>23.197428455597098</v>
      </c>
      <c r="W114" s="196">
        <v>22.867561216998062</v>
      </c>
      <c r="X114" s="196">
        <v>20.131603532147214</v>
      </c>
      <c r="Y114" s="196">
        <v>23.755292167933714</v>
      </c>
      <c r="Z114" s="196">
        <v>24.676980040489848</v>
      </c>
      <c r="AA114" s="196">
        <v>22.363058381493651</v>
      </c>
    </row>
    <row r="115" spans="1:27" x14ac:dyDescent="0.2">
      <c r="A115" s="212" t="s">
        <v>1264</v>
      </c>
      <c r="B115" s="196">
        <v>0.17772263815859099</v>
      </c>
      <c r="C115" s="196">
        <v>0.18437349100884576</v>
      </c>
      <c r="D115" s="196">
        <v>0.18981307800000002</v>
      </c>
      <c r="E115" s="196">
        <v>0.20059382575459189</v>
      </c>
      <c r="F115" s="196">
        <v>0.19619285401092654</v>
      </c>
      <c r="G115" s="196">
        <v>0.19629872695981915</v>
      </c>
      <c r="H115" s="196">
        <v>0.21212689470450669</v>
      </c>
      <c r="I115" s="196">
        <v>0.20169978526315011</v>
      </c>
      <c r="J115" s="196">
        <v>0.18294149462097611</v>
      </c>
      <c r="K115" s="196">
        <v>0.19125413996147519</v>
      </c>
      <c r="L115" s="196">
        <v>0.20220191281548594</v>
      </c>
      <c r="M115" s="196">
        <v>0.19310238378029307</v>
      </c>
      <c r="N115" s="196">
        <v>0.19785687242326153</v>
      </c>
      <c r="O115" s="196">
        <v>0.20556799267225045</v>
      </c>
      <c r="P115" s="196">
        <v>0.19704659631096075</v>
      </c>
      <c r="Q115" s="196">
        <v>0.1953459108910964</v>
      </c>
      <c r="R115" s="196">
        <v>0.17679754493772434</v>
      </c>
      <c r="S115" s="196">
        <v>0.19110552930844249</v>
      </c>
      <c r="T115" s="196">
        <v>0.1979856521340323</v>
      </c>
      <c r="U115" s="196">
        <v>0.19341239402055199</v>
      </c>
      <c r="V115" s="196">
        <v>0.19353380795276826</v>
      </c>
      <c r="W115" s="196">
        <v>0.19078175882253237</v>
      </c>
      <c r="X115" s="196">
        <v>0.16795593956586957</v>
      </c>
      <c r="Y115" s="196">
        <v>0.19818800868772615</v>
      </c>
      <c r="Z115" s="196">
        <v>0.20587755772809124</v>
      </c>
      <c r="AA115" s="196">
        <v>0.18657274250570094</v>
      </c>
    </row>
    <row r="116" spans="1:27" x14ac:dyDescent="0.2">
      <c r="A116" s="212" t="s">
        <v>1265</v>
      </c>
      <c r="B116" s="196">
        <v>8.6576450975592554</v>
      </c>
      <c r="C116" s="196">
        <v>8.8330737115575069</v>
      </c>
      <c r="D116" s="196">
        <v>9.1338726617280006</v>
      </c>
      <c r="E116" s="196">
        <v>9.3874643634353241</v>
      </c>
      <c r="F116" s="196">
        <v>9.5939341579131732</v>
      </c>
      <c r="G116" s="196">
        <v>10.027319068142212</v>
      </c>
      <c r="H116" s="196">
        <v>10.20892476191297</v>
      </c>
      <c r="I116" s="196">
        <v>10.266840303271243</v>
      </c>
      <c r="J116" s="196">
        <v>10.04495941722646</v>
      </c>
      <c r="K116" s="196">
        <v>10.116842473833485</v>
      </c>
      <c r="L116" s="196">
        <v>10.535858900477663</v>
      </c>
      <c r="M116" s="196">
        <v>10.041648719208039</v>
      </c>
      <c r="N116" s="196">
        <v>10.388609600614121</v>
      </c>
      <c r="O116" s="196">
        <v>10.058752186139543</v>
      </c>
      <c r="P116" s="196">
        <v>10.109538347927046</v>
      </c>
      <c r="Q116" s="196">
        <v>9.9386847465205381</v>
      </c>
      <c r="R116" s="196">
        <v>9.7915027262539311</v>
      </c>
      <c r="S116" s="196">
        <v>10.43240139356565</v>
      </c>
      <c r="T116" s="196">
        <v>10.510517972560063</v>
      </c>
      <c r="U116" s="196">
        <v>10.344802455271342</v>
      </c>
      <c r="V116" s="196">
        <v>10.876266116984755</v>
      </c>
      <c r="W116" s="196">
        <v>11.052367075411462</v>
      </c>
      <c r="X116" s="196">
        <v>11.53145199051591</v>
      </c>
      <c r="Y116" s="196">
        <v>11.810052737565339</v>
      </c>
      <c r="Z116" s="196">
        <v>12.0078276601061</v>
      </c>
      <c r="AA116" s="196">
        <v>12.329776335383642</v>
      </c>
    </row>
    <row r="117" spans="1:27" x14ac:dyDescent="0.2">
      <c r="A117" s="206" t="s">
        <v>1266</v>
      </c>
      <c r="B117" s="238">
        <v>2.4245541363115746E-3</v>
      </c>
      <c r="C117" s="238">
        <v>2.4736825271042128E-3</v>
      </c>
      <c r="D117" s="238">
        <v>2.5579206000000006E-3</v>
      </c>
      <c r="E117" s="238">
        <v>2.6289383885995947E-3</v>
      </c>
      <c r="F117" s="238">
        <v>2.686759792524526E-3</v>
      </c>
      <c r="G117" s="238">
        <v>2.8081282668463792E-3</v>
      </c>
      <c r="H117" s="238">
        <v>2.8589865350068231E-3</v>
      </c>
      <c r="I117" s="238">
        <v>2.8752056527662833E-3</v>
      </c>
      <c r="J117" s="238">
        <v>2.8130684071335167E-3</v>
      </c>
      <c r="K117" s="238">
        <v>2.8331990962832043E-3</v>
      </c>
      <c r="L117" s="238">
        <v>2.9505437089295517E-3</v>
      </c>
      <c r="M117" s="238">
        <v>2.812141253561825E-3</v>
      </c>
      <c r="N117" s="238">
        <v>2.9093068720033315E-3</v>
      </c>
      <c r="O117" s="238">
        <v>2.8169310412034707E-3</v>
      </c>
      <c r="P117" s="238">
        <v>2.8311535921675887E-3</v>
      </c>
      <c r="Q117" s="238">
        <v>2.7833064234137365E-3</v>
      </c>
      <c r="R117" s="238">
        <v>2.742088427988087E-3</v>
      </c>
      <c r="S117" s="238">
        <v>2.9215706656262721E-3</v>
      </c>
      <c r="T117" s="238">
        <v>2.9434470387717598E-3</v>
      </c>
      <c r="U117" s="238">
        <v>2.8970387789775754E-3</v>
      </c>
      <c r="V117" s="238">
        <v>3.0458739881812683E-3</v>
      </c>
      <c r="W117" s="238">
        <v>3.0951906675265868E-3</v>
      </c>
      <c r="X117" s="238">
        <v>3.2293573259506467E-3</v>
      </c>
      <c r="Y117" s="238">
        <v>3.3073788417354207E-3</v>
      </c>
      <c r="Z117" s="238">
        <v>3.3627652662309325E-3</v>
      </c>
      <c r="AA117" s="238">
        <v>3.4529262723160922E-3</v>
      </c>
    </row>
    <row r="118" spans="1:27" x14ac:dyDescent="0.2">
      <c r="A118" s="207" t="s">
        <v>1267</v>
      </c>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1"/>
    </row>
    <row r="119" spans="1:27" ht="23.25" customHeight="1" x14ac:dyDescent="0.2">
      <c r="A119" s="213" t="s">
        <v>1268</v>
      </c>
      <c r="B119" s="193">
        <v>213.08111462742983</v>
      </c>
      <c r="C119" s="193">
        <v>214.49496448281505</v>
      </c>
      <c r="D119" s="193">
        <v>212.74754241064559</v>
      </c>
      <c r="E119" s="193">
        <v>199.74382747764056</v>
      </c>
      <c r="F119" s="193">
        <v>187.11605453038638</v>
      </c>
      <c r="G119" s="193">
        <v>174.86422356888306</v>
      </c>
      <c r="H119" s="193">
        <v>162.98833459313053</v>
      </c>
      <c r="I119" s="193">
        <v>151.48838760312887</v>
      </c>
      <c r="J119" s="193">
        <v>140.36438259887802</v>
      </c>
      <c r="K119" s="193">
        <v>129.61631958037805</v>
      </c>
      <c r="L119" s="193">
        <v>119.2441985476289</v>
      </c>
      <c r="M119" s="193">
        <v>109.24801950063059</v>
      </c>
      <c r="N119" s="193">
        <v>99.627782439383139</v>
      </c>
      <c r="O119" s="193">
        <v>90.383487363886545</v>
      </c>
      <c r="P119" s="193">
        <v>81.515134274140763</v>
      </c>
      <c r="Q119" s="193">
        <v>73.022723170145824</v>
      </c>
      <c r="R119" s="193">
        <v>64.90625405190174</v>
      </c>
      <c r="S119" s="193">
        <v>57.165726919408506</v>
      </c>
      <c r="T119" s="193">
        <v>49.801141772666114</v>
      </c>
      <c r="U119" s="193">
        <v>42.812498611674563</v>
      </c>
      <c r="V119" s="193">
        <v>36.199797436433862</v>
      </c>
      <c r="W119" s="193">
        <v>29.963038246944024</v>
      </c>
      <c r="X119" s="193">
        <v>21.516652690531096</v>
      </c>
      <c r="Y119" s="193">
        <v>26.569859764124242</v>
      </c>
      <c r="Z119" s="193">
        <v>27.79205213941384</v>
      </c>
      <c r="AA119" s="193">
        <v>29.576821119999973</v>
      </c>
    </row>
    <row r="120" spans="1:27" x14ac:dyDescent="0.2">
      <c r="A120" s="212" t="s">
        <v>1201</v>
      </c>
      <c r="B120" s="196" t="s">
        <v>1234</v>
      </c>
      <c r="C120" s="196" t="s">
        <v>1234</v>
      </c>
      <c r="D120" s="196" t="s">
        <v>1234</v>
      </c>
      <c r="E120" s="196" t="s">
        <v>1234</v>
      </c>
      <c r="F120" s="196" t="s">
        <v>1234</v>
      </c>
      <c r="G120" s="196" t="s">
        <v>1234</v>
      </c>
      <c r="H120" s="196" t="s">
        <v>1234</v>
      </c>
      <c r="I120" s="196" t="s">
        <v>1234</v>
      </c>
      <c r="J120" s="196" t="s">
        <v>1234</v>
      </c>
      <c r="K120" s="196" t="s">
        <v>1234</v>
      </c>
      <c r="L120" s="196" t="s">
        <v>1234</v>
      </c>
      <c r="M120" s="196" t="s">
        <v>1234</v>
      </c>
      <c r="N120" s="196" t="s">
        <v>1234</v>
      </c>
      <c r="O120" s="196" t="s">
        <v>1234</v>
      </c>
      <c r="P120" s="196" t="s">
        <v>1234</v>
      </c>
      <c r="Q120" s="196" t="s">
        <v>1234</v>
      </c>
      <c r="R120" s="196" t="s">
        <v>1234</v>
      </c>
      <c r="S120" s="196" t="s">
        <v>1234</v>
      </c>
      <c r="T120" s="196" t="s">
        <v>1234</v>
      </c>
      <c r="U120" s="196" t="s">
        <v>1234</v>
      </c>
      <c r="V120" s="196" t="s">
        <v>1234</v>
      </c>
      <c r="W120" s="196">
        <v>19.515764729472004</v>
      </c>
      <c r="X120" s="196">
        <v>10.035607359888573</v>
      </c>
      <c r="Y120" s="196">
        <v>11.931292745799675</v>
      </c>
      <c r="Z120" s="196">
        <v>12.085167591214089</v>
      </c>
      <c r="AA120" s="196">
        <v>14.630387200000008</v>
      </c>
    </row>
    <row r="121" spans="1:27" x14ac:dyDescent="0.2">
      <c r="A121" s="212" t="s">
        <v>1202</v>
      </c>
      <c r="B121" s="196" t="s">
        <v>1234</v>
      </c>
      <c r="C121" s="196" t="s">
        <v>1234</v>
      </c>
      <c r="D121" s="196" t="s">
        <v>1234</v>
      </c>
      <c r="E121" s="196" t="s">
        <v>1234</v>
      </c>
      <c r="F121" s="196" t="s">
        <v>1234</v>
      </c>
      <c r="G121" s="196" t="s">
        <v>1234</v>
      </c>
      <c r="H121" s="196" t="s">
        <v>1234</v>
      </c>
      <c r="I121" s="196" t="s">
        <v>1234</v>
      </c>
      <c r="J121" s="196" t="s">
        <v>1234</v>
      </c>
      <c r="K121" s="196" t="s">
        <v>1234</v>
      </c>
      <c r="L121" s="196" t="s">
        <v>1234</v>
      </c>
      <c r="M121" s="196" t="s">
        <v>1234</v>
      </c>
      <c r="N121" s="196" t="s">
        <v>1234</v>
      </c>
      <c r="O121" s="196" t="s">
        <v>1234</v>
      </c>
      <c r="P121" s="196" t="s">
        <v>1234</v>
      </c>
      <c r="Q121" s="196" t="s">
        <v>1234</v>
      </c>
      <c r="R121" s="196" t="s">
        <v>1234</v>
      </c>
      <c r="S121" s="196" t="s">
        <v>1234</v>
      </c>
      <c r="T121" s="196" t="s">
        <v>1234</v>
      </c>
      <c r="U121" s="196" t="s">
        <v>1234</v>
      </c>
      <c r="V121" s="196" t="s">
        <v>1234</v>
      </c>
      <c r="W121" s="196">
        <v>9.9503183184063975</v>
      </c>
      <c r="X121" s="196">
        <v>10.848351309053974</v>
      </c>
      <c r="Y121" s="196">
        <v>13.924231139315195</v>
      </c>
      <c r="Z121" s="196">
        <v>14.888672492052493</v>
      </c>
      <c r="AA121" s="196">
        <v>14.140459520000014</v>
      </c>
    </row>
    <row r="122" spans="1:27" x14ac:dyDescent="0.2">
      <c r="A122" s="212" t="s">
        <v>1200</v>
      </c>
      <c r="B122" s="196" t="s">
        <v>1234</v>
      </c>
      <c r="C122" s="196" t="s">
        <v>1234</v>
      </c>
      <c r="D122" s="196" t="s">
        <v>1234</v>
      </c>
      <c r="E122" s="196" t="s">
        <v>1234</v>
      </c>
      <c r="F122" s="196" t="s">
        <v>1234</v>
      </c>
      <c r="G122" s="196" t="s">
        <v>1234</v>
      </c>
      <c r="H122" s="196" t="s">
        <v>1234</v>
      </c>
      <c r="I122" s="196" t="s">
        <v>1234</v>
      </c>
      <c r="J122" s="196" t="s">
        <v>1234</v>
      </c>
      <c r="K122" s="196" t="s">
        <v>1234</v>
      </c>
      <c r="L122" s="196" t="s">
        <v>1234</v>
      </c>
      <c r="M122" s="196" t="s">
        <v>1234</v>
      </c>
      <c r="N122" s="196" t="s">
        <v>1234</v>
      </c>
      <c r="O122" s="196" t="s">
        <v>1234</v>
      </c>
      <c r="P122" s="196" t="s">
        <v>1234</v>
      </c>
      <c r="Q122" s="196" t="s">
        <v>1234</v>
      </c>
      <c r="R122" s="196" t="s">
        <v>1234</v>
      </c>
      <c r="S122" s="196" t="s">
        <v>1234</v>
      </c>
      <c r="T122" s="196" t="s">
        <v>1234</v>
      </c>
      <c r="U122" s="196" t="s">
        <v>1234</v>
      </c>
      <c r="V122" s="196" t="s">
        <v>1234</v>
      </c>
      <c r="W122" s="196">
        <v>0.49695519906559976</v>
      </c>
      <c r="X122" s="196">
        <v>0.6326940215885235</v>
      </c>
      <c r="Y122" s="196">
        <v>0.71433587900928064</v>
      </c>
      <c r="Z122" s="196">
        <v>0.81821205614720249</v>
      </c>
      <c r="AA122" s="196">
        <v>0.80597439999999987</v>
      </c>
    </row>
    <row r="123" spans="1:27" x14ac:dyDescent="0.2">
      <c r="A123" s="212" t="s">
        <v>1269</v>
      </c>
      <c r="B123" s="196">
        <v>44.44080369372</v>
      </c>
      <c r="C123" s="196">
        <v>46.105849972980003</v>
      </c>
      <c r="D123" s="196">
        <v>47.464752658679998</v>
      </c>
      <c r="E123" s="196">
        <v>46.881957306086228</v>
      </c>
      <c r="F123" s="196">
        <v>46.239861052188878</v>
      </c>
      <c r="G123" s="196">
        <v>45.538463896987928</v>
      </c>
      <c r="H123" s="196">
        <v>44.777765840483411</v>
      </c>
      <c r="I123" s="196">
        <v>43.957766882675301</v>
      </c>
      <c r="J123" s="196">
        <v>43.078467023563618</v>
      </c>
      <c r="K123" s="196">
        <v>42.139866263148349</v>
      </c>
      <c r="L123" s="196">
        <v>41.141964601429486</v>
      </c>
      <c r="M123" s="196">
        <v>40.084762038407042</v>
      </c>
      <c r="N123" s="196">
        <v>38.96825857408102</v>
      </c>
      <c r="O123" s="196">
        <v>37.792454208451403</v>
      </c>
      <c r="P123" s="196">
        <v>36.557348941518214</v>
      </c>
      <c r="Q123" s="196">
        <v>35.262942773281438</v>
      </c>
      <c r="R123" s="196">
        <v>33.909235703741068</v>
      </c>
      <c r="S123" s="196">
        <v>32.496227732897118</v>
      </c>
      <c r="T123" s="196">
        <v>31.023918860749589</v>
      </c>
      <c r="U123" s="196">
        <v>29.492309087298477</v>
      </c>
      <c r="V123" s="196">
        <v>27.901398412543774</v>
      </c>
      <c r="W123" s="196">
        <v>26.251186836485477</v>
      </c>
      <c r="X123" s="196">
        <v>25.994231094098783</v>
      </c>
      <c r="Y123" s="196">
        <v>30.077610380699298</v>
      </c>
      <c r="Z123" s="196">
        <v>29.364460735408002</v>
      </c>
      <c r="AA123" s="196">
        <v>22.461364046153847</v>
      </c>
    </row>
    <row r="124" spans="1:27" x14ac:dyDescent="0.2">
      <c r="A124" s="212" t="s">
        <v>1201</v>
      </c>
      <c r="B124" s="196" t="s">
        <v>1234</v>
      </c>
      <c r="C124" s="196" t="s">
        <v>1234</v>
      </c>
      <c r="D124" s="196" t="s">
        <v>1234</v>
      </c>
      <c r="E124" s="196" t="s">
        <v>1234</v>
      </c>
      <c r="F124" s="196" t="s">
        <v>1234</v>
      </c>
      <c r="G124" s="196" t="s">
        <v>1234</v>
      </c>
      <c r="H124" s="196" t="s">
        <v>1234</v>
      </c>
      <c r="I124" s="196" t="s">
        <v>1234</v>
      </c>
      <c r="J124" s="196" t="s">
        <v>1234</v>
      </c>
      <c r="K124" s="196" t="s">
        <v>1234</v>
      </c>
      <c r="L124" s="196" t="s">
        <v>1234</v>
      </c>
      <c r="M124" s="196" t="s">
        <v>1234</v>
      </c>
      <c r="N124" s="196" t="s">
        <v>1234</v>
      </c>
      <c r="O124" s="196" t="s">
        <v>1234</v>
      </c>
      <c r="P124" s="196" t="s">
        <v>1234</v>
      </c>
      <c r="Q124" s="196" t="s">
        <v>1234</v>
      </c>
      <c r="R124" s="196" t="s">
        <v>1234</v>
      </c>
      <c r="S124" s="196" t="s">
        <v>1234</v>
      </c>
      <c r="T124" s="196" t="s">
        <v>1234</v>
      </c>
      <c r="U124" s="196" t="s">
        <v>1234</v>
      </c>
      <c r="V124" s="196" t="s">
        <v>1234</v>
      </c>
      <c r="W124" s="196">
        <v>22.686955806609181</v>
      </c>
      <c r="X124" s="196">
        <v>21.731578627285923</v>
      </c>
      <c r="Y124" s="196">
        <v>24.951792493275612</v>
      </c>
      <c r="Z124" s="196">
        <v>23.88201516809362</v>
      </c>
      <c r="AA124" s="196">
        <v>16.20822678461538</v>
      </c>
    </row>
    <row r="125" spans="1:27" x14ac:dyDescent="0.2">
      <c r="A125" s="212" t="s">
        <v>1202</v>
      </c>
      <c r="B125" s="196" t="s">
        <v>1234</v>
      </c>
      <c r="C125" s="196" t="s">
        <v>1234</v>
      </c>
      <c r="D125" s="196" t="s">
        <v>1234</v>
      </c>
      <c r="E125" s="196" t="s">
        <v>1234</v>
      </c>
      <c r="F125" s="196" t="s">
        <v>1234</v>
      </c>
      <c r="G125" s="196" t="s">
        <v>1234</v>
      </c>
      <c r="H125" s="196" t="s">
        <v>1234</v>
      </c>
      <c r="I125" s="196" t="s">
        <v>1234</v>
      </c>
      <c r="J125" s="196" t="s">
        <v>1234</v>
      </c>
      <c r="K125" s="196" t="s">
        <v>1234</v>
      </c>
      <c r="L125" s="196" t="s">
        <v>1234</v>
      </c>
      <c r="M125" s="196" t="s">
        <v>1234</v>
      </c>
      <c r="N125" s="196" t="s">
        <v>1234</v>
      </c>
      <c r="O125" s="196" t="s">
        <v>1234</v>
      </c>
      <c r="P125" s="196" t="s">
        <v>1234</v>
      </c>
      <c r="Q125" s="196" t="s">
        <v>1234</v>
      </c>
      <c r="R125" s="196" t="s">
        <v>1234</v>
      </c>
      <c r="S125" s="196" t="s">
        <v>1234</v>
      </c>
      <c r="T125" s="196" t="s">
        <v>1234</v>
      </c>
      <c r="U125" s="196" t="s">
        <v>1234</v>
      </c>
      <c r="V125" s="196" t="s">
        <v>1234</v>
      </c>
      <c r="W125" s="196">
        <v>3.2123395442611913</v>
      </c>
      <c r="X125" s="196">
        <v>3.8328584644835506</v>
      </c>
      <c r="Y125" s="196">
        <v>4.5277089392069021</v>
      </c>
      <c r="Z125" s="196">
        <v>5.0201251732305181</v>
      </c>
      <c r="AA125" s="196">
        <v>5.8440083692307701</v>
      </c>
    </row>
    <row r="126" spans="1:27" x14ac:dyDescent="0.2">
      <c r="A126" s="206" t="s">
        <v>1200</v>
      </c>
      <c r="B126" s="195" t="s">
        <v>1234</v>
      </c>
      <c r="C126" s="195" t="s">
        <v>1234</v>
      </c>
      <c r="D126" s="195" t="s">
        <v>1234</v>
      </c>
      <c r="E126" s="195" t="s">
        <v>1234</v>
      </c>
      <c r="F126" s="195" t="s">
        <v>1234</v>
      </c>
      <c r="G126" s="195" t="s">
        <v>1234</v>
      </c>
      <c r="H126" s="195" t="s">
        <v>1234</v>
      </c>
      <c r="I126" s="195" t="s">
        <v>1234</v>
      </c>
      <c r="J126" s="195" t="s">
        <v>1234</v>
      </c>
      <c r="K126" s="195" t="s">
        <v>1234</v>
      </c>
      <c r="L126" s="195" t="s">
        <v>1234</v>
      </c>
      <c r="M126" s="195" t="s">
        <v>1234</v>
      </c>
      <c r="N126" s="195" t="s">
        <v>1234</v>
      </c>
      <c r="O126" s="195" t="s">
        <v>1234</v>
      </c>
      <c r="P126" s="195" t="s">
        <v>1234</v>
      </c>
      <c r="Q126" s="195" t="s">
        <v>1234</v>
      </c>
      <c r="R126" s="195" t="s">
        <v>1234</v>
      </c>
      <c r="S126" s="195" t="s">
        <v>1234</v>
      </c>
      <c r="T126" s="195" t="s">
        <v>1234</v>
      </c>
      <c r="U126" s="195" t="s">
        <v>1234</v>
      </c>
      <c r="V126" s="195" t="s">
        <v>1234</v>
      </c>
      <c r="W126" s="195">
        <v>0.35189148561510697</v>
      </c>
      <c r="X126" s="195">
        <v>0.42979400232930465</v>
      </c>
      <c r="Y126" s="195">
        <v>0.59810894821678429</v>
      </c>
      <c r="Z126" s="195">
        <v>0.46232039408385184</v>
      </c>
      <c r="AA126" s="195">
        <v>0.40912889230769245</v>
      </c>
    </row>
    <row r="127" spans="1:27" x14ac:dyDescent="0.2">
      <c r="A127" s="207" t="s">
        <v>1270</v>
      </c>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1"/>
    </row>
    <row r="128" spans="1:27" x14ac:dyDescent="0.2">
      <c r="A128" s="217" t="s">
        <v>1271</v>
      </c>
      <c r="B128" s="218">
        <v>177.95134957499999</v>
      </c>
      <c r="C128" s="218">
        <v>179.13210409799999</v>
      </c>
      <c r="D128" s="218">
        <v>177.67277197199999</v>
      </c>
      <c r="E128" s="218">
        <v>178.76696627699997</v>
      </c>
      <c r="F128" s="218">
        <v>183.81549955499997</v>
      </c>
      <c r="G128" s="218">
        <v>181.01265531299995</v>
      </c>
      <c r="H128" s="218">
        <v>173.53007308799997</v>
      </c>
      <c r="I128" s="218">
        <v>179.44177023</v>
      </c>
      <c r="J128" s="218">
        <v>184.52504951099999</v>
      </c>
      <c r="K128" s="218">
        <v>180.47134916099998</v>
      </c>
      <c r="L128" s="218">
        <v>182.23790910299999</v>
      </c>
      <c r="M128" s="218">
        <v>176.774252526</v>
      </c>
      <c r="N128" s="218">
        <v>184.70182742099999</v>
      </c>
      <c r="O128" s="218">
        <v>183.78380144699997</v>
      </c>
      <c r="P128" s="218">
        <v>184.70304657899999</v>
      </c>
      <c r="Q128" s="218">
        <v>183.15898297199996</v>
      </c>
      <c r="R128" s="218">
        <v>183.07120359599998</v>
      </c>
      <c r="S128" s="218">
        <v>183.523511214</v>
      </c>
      <c r="T128" s="218">
        <v>184.81277079899999</v>
      </c>
      <c r="U128" s="218">
        <v>185.66130476699996</v>
      </c>
      <c r="V128" s="218">
        <v>185.80272709499997</v>
      </c>
      <c r="W128" s="218">
        <v>185.95634100299998</v>
      </c>
      <c r="X128" s="218">
        <v>184.91030343900002</v>
      </c>
      <c r="Y128" s="218">
        <v>184.59697983299995</v>
      </c>
      <c r="Z128" s="218">
        <v>183.99166788599999</v>
      </c>
      <c r="AA128" s="218">
        <v>183.63994080299997</v>
      </c>
    </row>
    <row r="129" spans="1:27" x14ac:dyDescent="0.2">
      <c r="A129" s="207" t="s">
        <v>1272</v>
      </c>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1"/>
    </row>
    <row r="130" spans="1:27" ht="11.25" customHeight="1" x14ac:dyDescent="0.2">
      <c r="A130" s="213" t="s">
        <v>1273</v>
      </c>
      <c r="B130" s="193">
        <v>145.48375913079406</v>
      </c>
      <c r="C130" s="193">
        <v>146.44908255782616</v>
      </c>
      <c r="D130" s="193">
        <v>145.25600858554176</v>
      </c>
      <c r="E130" s="193">
        <v>144.15904053013432</v>
      </c>
      <c r="F130" s="193">
        <v>143.06207247472682</v>
      </c>
      <c r="G130" s="193">
        <v>141.96510441931937</v>
      </c>
      <c r="H130" s="193">
        <v>140.8681363639119</v>
      </c>
      <c r="I130" s="193">
        <v>139.77116830850446</v>
      </c>
      <c r="J130" s="193">
        <v>138.67420025309696</v>
      </c>
      <c r="K130" s="193">
        <v>137.57723219768951</v>
      </c>
      <c r="L130" s="193">
        <v>136.48026414228204</v>
      </c>
      <c r="M130" s="193">
        <v>135.38329608687459</v>
      </c>
      <c r="N130" s="193">
        <v>134.28632803146712</v>
      </c>
      <c r="O130" s="193">
        <v>133.18935997605965</v>
      </c>
      <c r="P130" s="193">
        <v>132.09239192065218</v>
      </c>
      <c r="Q130" s="193">
        <v>130.99542386524473</v>
      </c>
      <c r="R130" s="193">
        <v>129.89845580983726</v>
      </c>
      <c r="S130" s="193">
        <v>128.80148775442979</v>
      </c>
      <c r="T130" s="193">
        <v>127.70451969902231</v>
      </c>
      <c r="U130" s="193">
        <v>126.60755164361485</v>
      </c>
      <c r="V130" s="193">
        <v>125.51058358820738</v>
      </c>
      <c r="W130" s="193">
        <v>124.41361553280001</v>
      </c>
      <c r="X130" s="193">
        <v>133.23553758</v>
      </c>
      <c r="Y130" s="193">
        <v>143.91788780160002</v>
      </c>
      <c r="Z130" s="193">
        <v>154.26106248960002</v>
      </c>
      <c r="AA130" s="193">
        <v>153.96554321279999</v>
      </c>
    </row>
    <row r="131" spans="1:27" x14ac:dyDescent="0.2">
      <c r="A131" s="206" t="s">
        <v>1274</v>
      </c>
      <c r="B131" s="195">
        <v>30.342200661273939</v>
      </c>
      <c r="C131" s="195">
        <v>31.477686347520379</v>
      </c>
      <c r="D131" s="195">
        <v>32.406375239999996</v>
      </c>
      <c r="E131" s="195">
        <v>32.126419806230764</v>
      </c>
      <c r="F131" s="195">
        <v>31.846464372461533</v>
      </c>
      <c r="G131" s="195">
        <v>31.566508938692301</v>
      </c>
      <c r="H131" s="195">
        <v>31.28655350492307</v>
      </c>
      <c r="I131" s="195">
        <v>31.006598071153835</v>
      </c>
      <c r="J131" s="195">
        <v>30.726642637384604</v>
      </c>
      <c r="K131" s="195">
        <v>30.446687203615372</v>
      </c>
      <c r="L131" s="195">
        <v>30.166731769846141</v>
      </c>
      <c r="M131" s="195">
        <v>29.88677633607691</v>
      </c>
      <c r="N131" s="195">
        <v>29.606820902307675</v>
      </c>
      <c r="O131" s="195">
        <v>29.326865468538443</v>
      </c>
      <c r="P131" s="195">
        <v>29.046910034769212</v>
      </c>
      <c r="Q131" s="195">
        <v>28.766954600999998</v>
      </c>
      <c r="R131" s="195">
        <v>28.991112688799998</v>
      </c>
      <c r="S131" s="195">
        <v>28.766954600999998</v>
      </c>
      <c r="T131" s="195">
        <v>29.364709501799997</v>
      </c>
      <c r="U131" s="195">
        <v>29.4394288644</v>
      </c>
      <c r="V131" s="195">
        <v>29.514148226999996</v>
      </c>
      <c r="W131" s="195">
        <v>29.738306314800003</v>
      </c>
      <c r="X131" s="195">
        <v>29.738306314800003</v>
      </c>
      <c r="Y131" s="195">
        <v>29.887745039999999</v>
      </c>
      <c r="Z131" s="195">
        <v>29.887745039999999</v>
      </c>
      <c r="AA131" s="195">
        <v>29.2899901392</v>
      </c>
    </row>
    <row r="132" spans="1:27" x14ac:dyDescent="0.2">
      <c r="A132" s="219" t="s">
        <v>1275</v>
      </c>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1"/>
    </row>
    <row r="133" spans="1:27" x14ac:dyDescent="0.2">
      <c r="A133" s="213" t="s">
        <v>1276</v>
      </c>
      <c r="B133" s="193">
        <v>9.2397590858029091</v>
      </c>
      <c r="C133" s="193">
        <v>9.3461433166194539</v>
      </c>
      <c r="D133" s="193">
        <v>9.4525275474360004</v>
      </c>
      <c r="E133" s="193">
        <v>9.5589117782525452</v>
      </c>
      <c r="F133" s="193">
        <v>9.66529600906909</v>
      </c>
      <c r="G133" s="193">
        <v>9.7716802398856384</v>
      </c>
      <c r="H133" s="193">
        <v>9.8780644707021796</v>
      </c>
      <c r="I133" s="193">
        <v>9.9844487015187298</v>
      </c>
      <c r="J133" s="193">
        <v>10.090832932335271</v>
      </c>
      <c r="K133" s="193">
        <v>10.197217163151819</v>
      </c>
      <c r="L133" s="193">
        <v>10.303601393968364</v>
      </c>
      <c r="M133" s="193">
        <v>10.409985624784911</v>
      </c>
      <c r="N133" s="193">
        <v>10.516369855601457</v>
      </c>
      <c r="O133" s="193">
        <v>10.622754086418</v>
      </c>
      <c r="P133" s="193">
        <v>10.622754086418</v>
      </c>
      <c r="Q133" s="193">
        <v>10.622754086418</v>
      </c>
      <c r="R133" s="193">
        <v>10.622754086418</v>
      </c>
      <c r="S133" s="193">
        <v>10.622754086418</v>
      </c>
      <c r="T133" s="193">
        <v>10.622754086418</v>
      </c>
      <c r="U133" s="193">
        <v>10.622754086418</v>
      </c>
      <c r="V133" s="193">
        <v>10.622754086418</v>
      </c>
      <c r="W133" s="193">
        <v>10.622754086418</v>
      </c>
      <c r="X133" s="193">
        <v>10.622754086418</v>
      </c>
      <c r="Y133" s="193">
        <v>10.622754086418</v>
      </c>
      <c r="Z133" s="193">
        <v>10.622754086418</v>
      </c>
      <c r="AA133" s="193">
        <v>10.622754086418</v>
      </c>
    </row>
    <row r="134" spans="1:27" x14ac:dyDescent="0.2">
      <c r="A134" s="212" t="s">
        <v>1277</v>
      </c>
      <c r="B134" s="196">
        <v>34.497564073576363</v>
      </c>
      <c r="C134" s="196">
        <v>34.932098297438195</v>
      </c>
      <c r="D134" s="196">
        <v>35.366632521300012</v>
      </c>
      <c r="E134" s="196">
        <v>35.801166745161815</v>
      </c>
      <c r="F134" s="196">
        <v>36.23570096902364</v>
      </c>
      <c r="G134" s="196">
        <v>36.670235192885464</v>
      </c>
      <c r="H134" s="196">
        <v>37.104769416747274</v>
      </c>
      <c r="I134" s="196">
        <v>37.539303640609099</v>
      </c>
      <c r="J134" s="196">
        <v>37.973837864470909</v>
      </c>
      <c r="K134" s="196">
        <v>38.408372088332726</v>
      </c>
      <c r="L134" s="196">
        <v>38.84290631219455</v>
      </c>
      <c r="M134" s="196">
        <v>39.277440536056368</v>
      </c>
      <c r="N134" s="196">
        <v>39.711974759918178</v>
      </c>
      <c r="O134" s="196">
        <v>40.146508983780009</v>
      </c>
      <c r="P134" s="196">
        <v>40.146508983780009</v>
      </c>
      <c r="Q134" s="196">
        <v>40.146508983780009</v>
      </c>
      <c r="R134" s="196">
        <v>40.146508983780009</v>
      </c>
      <c r="S134" s="196">
        <v>40.146508983780009</v>
      </c>
      <c r="T134" s="196">
        <v>40.146508983780009</v>
      </c>
      <c r="U134" s="196">
        <v>40.146508983780009</v>
      </c>
      <c r="V134" s="196">
        <v>40.146508983780009</v>
      </c>
      <c r="W134" s="196">
        <v>40.146508983780009</v>
      </c>
      <c r="X134" s="196">
        <v>40.146508983780009</v>
      </c>
      <c r="Y134" s="196">
        <v>40.146508983780009</v>
      </c>
      <c r="Z134" s="196">
        <v>40.146508983780009</v>
      </c>
      <c r="AA134" s="196">
        <v>40.146508983780009</v>
      </c>
    </row>
    <row r="135" spans="1:27" x14ac:dyDescent="0.2">
      <c r="A135" s="206" t="s">
        <v>1278</v>
      </c>
      <c r="B135" s="195">
        <v>11.784735798909546</v>
      </c>
      <c r="C135" s="195">
        <v>11.937137256642274</v>
      </c>
      <c r="D135" s="195">
        <v>12.089538714375003</v>
      </c>
      <c r="E135" s="195">
        <v>12.241940172107727</v>
      </c>
      <c r="F135" s="195">
        <v>12.394341629840456</v>
      </c>
      <c r="G135" s="195">
        <v>12.546743087573182</v>
      </c>
      <c r="H135" s="195">
        <v>12.699144545305911</v>
      </c>
      <c r="I135" s="195">
        <v>12.851546003038637</v>
      </c>
      <c r="J135" s="195">
        <v>13.003947460771366</v>
      </c>
      <c r="K135" s="195">
        <v>13.156348918504092</v>
      </c>
      <c r="L135" s="195">
        <v>13.308750376236818</v>
      </c>
      <c r="M135" s="195">
        <v>13.461151833969549</v>
      </c>
      <c r="N135" s="195">
        <v>13.613553291702274</v>
      </c>
      <c r="O135" s="195">
        <v>13.765954749435002</v>
      </c>
      <c r="P135" s="195">
        <v>13.765954749435002</v>
      </c>
      <c r="Q135" s="195">
        <v>13.765954749435002</v>
      </c>
      <c r="R135" s="195">
        <v>13.765954749435002</v>
      </c>
      <c r="S135" s="195">
        <v>13.765954749435002</v>
      </c>
      <c r="T135" s="195">
        <v>13.765954749435002</v>
      </c>
      <c r="U135" s="195">
        <v>13.765954749435002</v>
      </c>
      <c r="V135" s="195">
        <v>13.765954749435002</v>
      </c>
      <c r="W135" s="195">
        <v>13.765954749435002</v>
      </c>
      <c r="X135" s="195">
        <v>13.765954749435002</v>
      </c>
      <c r="Y135" s="195">
        <v>13.765954749435002</v>
      </c>
      <c r="Z135" s="195">
        <v>13.765954749435002</v>
      </c>
      <c r="AA135" s="195">
        <v>13.765954749435002</v>
      </c>
    </row>
    <row r="136" spans="1:27" x14ac:dyDescent="0.2">
      <c r="A136" s="207" t="s">
        <v>1279</v>
      </c>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1"/>
    </row>
    <row r="137" spans="1:27" x14ac:dyDescent="0.2">
      <c r="A137" s="213" t="s">
        <v>1280</v>
      </c>
      <c r="B137" s="193">
        <v>2.5930788732692731</v>
      </c>
      <c r="C137" s="193">
        <v>2.599589168442856</v>
      </c>
      <c r="D137" s="193">
        <v>2.6060994636164381</v>
      </c>
      <c r="E137" s="193">
        <v>2.6126097587900214</v>
      </c>
      <c r="F137" s="193">
        <v>2.6191200539636039</v>
      </c>
      <c r="G137" s="193">
        <v>2.6256303491371873</v>
      </c>
      <c r="H137" s="193">
        <v>2.6321406443107707</v>
      </c>
      <c r="I137" s="193">
        <v>2.6386509394843527</v>
      </c>
      <c r="J137" s="193">
        <v>2.6451612346579365</v>
      </c>
      <c r="K137" s="193">
        <v>2.6516715298315194</v>
      </c>
      <c r="L137" s="193">
        <v>2.6581818250051028</v>
      </c>
      <c r="M137" s="193">
        <v>2.6646921201786848</v>
      </c>
      <c r="N137" s="193">
        <v>2.6712024153522669</v>
      </c>
      <c r="O137" s="193">
        <v>2.6777127105258507</v>
      </c>
      <c r="P137" s="193">
        <v>2.6777127105258507</v>
      </c>
      <c r="Q137" s="193">
        <v>2.6777127105258507</v>
      </c>
      <c r="R137" s="193">
        <v>2.6777127105258507</v>
      </c>
      <c r="S137" s="193">
        <v>2.6777127105258507</v>
      </c>
      <c r="T137" s="193">
        <v>2.6777127105258507</v>
      </c>
      <c r="U137" s="193">
        <v>2.6777127105258507</v>
      </c>
      <c r="V137" s="193">
        <v>2.6777127105258507</v>
      </c>
      <c r="W137" s="193">
        <v>2.6777127105258507</v>
      </c>
      <c r="X137" s="193">
        <v>2.6777127105258507</v>
      </c>
      <c r="Y137" s="193">
        <v>2.6777127105258507</v>
      </c>
      <c r="Z137" s="193">
        <v>2.6777127105258507</v>
      </c>
      <c r="AA137" s="193">
        <v>2.6777127105258507</v>
      </c>
    </row>
    <row r="138" spans="1:27" x14ac:dyDescent="0.2">
      <c r="A138" s="212" t="s">
        <v>1281</v>
      </c>
      <c r="B138" s="215">
        <v>1.2032355138940267E-2</v>
      </c>
      <c r="C138" s="215">
        <v>1.2062564086456437E-2</v>
      </c>
      <c r="D138" s="215">
        <v>1.2092773033972604E-2</v>
      </c>
      <c r="E138" s="215">
        <v>1.2122981981488774E-2</v>
      </c>
      <c r="F138" s="215">
        <v>1.2153190929004942E-2</v>
      </c>
      <c r="G138" s="215">
        <v>1.218339987652111E-2</v>
      </c>
      <c r="H138" s="215">
        <v>1.2213608824037282E-2</v>
      </c>
      <c r="I138" s="215">
        <v>1.224381777155345E-2</v>
      </c>
      <c r="J138" s="215">
        <v>1.227402671906962E-2</v>
      </c>
      <c r="K138" s="215">
        <v>1.230423566658579E-2</v>
      </c>
      <c r="L138" s="215">
        <v>1.233444461410196E-2</v>
      </c>
      <c r="M138" s="215">
        <v>1.2364653561618128E-2</v>
      </c>
      <c r="N138" s="215">
        <v>1.2394862509134293E-2</v>
      </c>
      <c r="O138" s="215">
        <v>1.2425071456650465E-2</v>
      </c>
      <c r="P138" s="215">
        <v>1.2425071456650465E-2</v>
      </c>
      <c r="Q138" s="215">
        <v>1.2425071456650465E-2</v>
      </c>
      <c r="R138" s="215">
        <v>1.2425071456650465E-2</v>
      </c>
      <c r="S138" s="215">
        <v>1.2425071456650465E-2</v>
      </c>
      <c r="T138" s="215">
        <v>1.2425071456650465E-2</v>
      </c>
      <c r="U138" s="215">
        <v>1.2425071456650465E-2</v>
      </c>
      <c r="V138" s="215">
        <v>1.2425071456650465E-2</v>
      </c>
      <c r="W138" s="215">
        <v>1.2425071456650465E-2</v>
      </c>
      <c r="X138" s="215">
        <v>1.2425071456650465E-2</v>
      </c>
      <c r="Y138" s="215">
        <v>1.2425071456650465E-2</v>
      </c>
      <c r="Z138" s="215">
        <v>1.2425071456650465E-2</v>
      </c>
      <c r="AA138" s="215">
        <v>1.2425071456650465E-2</v>
      </c>
    </row>
    <row r="139" spans="1:27" x14ac:dyDescent="0.2">
      <c r="A139" s="206" t="s">
        <v>1282</v>
      </c>
      <c r="B139" s="195">
        <v>5.1306786837818183</v>
      </c>
      <c r="C139" s="195">
        <v>5.1897520102909089</v>
      </c>
      <c r="D139" s="195">
        <v>5.2488253367999995</v>
      </c>
      <c r="E139" s="195">
        <v>5.3078986633090901</v>
      </c>
      <c r="F139" s="195">
        <v>5.3669719898181807</v>
      </c>
      <c r="G139" s="195">
        <v>5.426045316327273</v>
      </c>
      <c r="H139" s="195">
        <v>5.4851186428363636</v>
      </c>
      <c r="I139" s="195">
        <v>5.5441919693454551</v>
      </c>
      <c r="J139" s="195">
        <v>5.6032652958545448</v>
      </c>
      <c r="K139" s="195">
        <v>5.6623386223636363</v>
      </c>
      <c r="L139" s="195">
        <v>5.721411948872726</v>
      </c>
      <c r="M139" s="195">
        <v>5.7804852753818183</v>
      </c>
      <c r="N139" s="195">
        <v>5.8395586018909089</v>
      </c>
      <c r="O139" s="195">
        <v>5.8986319284000004</v>
      </c>
      <c r="P139" s="195">
        <v>5.8986319284000004</v>
      </c>
      <c r="Q139" s="195">
        <v>5.8986319284000004</v>
      </c>
      <c r="R139" s="195">
        <v>5.8986319284000004</v>
      </c>
      <c r="S139" s="195">
        <v>5.8986319284000004</v>
      </c>
      <c r="T139" s="195">
        <v>5.8986319284000004</v>
      </c>
      <c r="U139" s="195">
        <v>5.8986319284000004</v>
      </c>
      <c r="V139" s="195">
        <v>5.8986319284000004</v>
      </c>
      <c r="W139" s="195">
        <v>5.8986319284000004</v>
      </c>
      <c r="X139" s="195">
        <v>5.8986319284000004</v>
      </c>
      <c r="Y139" s="195">
        <v>5.8986319284000004</v>
      </c>
      <c r="Z139" s="195">
        <v>5.8986319284000004</v>
      </c>
      <c r="AA139" s="195">
        <v>5.8986319284000004</v>
      </c>
    </row>
    <row r="140" spans="1:27" x14ac:dyDescent="0.2">
      <c r="A140" s="219" t="s">
        <v>1283</v>
      </c>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c r="AA140" s="221"/>
    </row>
    <row r="141" spans="1:27" x14ac:dyDescent="0.2">
      <c r="A141" s="213" t="s">
        <v>1276</v>
      </c>
      <c r="B141" s="193">
        <v>0.21166888302</v>
      </c>
      <c r="C141" s="193">
        <v>0.21166888302</v>
      </c>
      <c r="D141" s="193">
        <v>0.21166888302</v>
      </c>
      <c r="E141" s="193">
        <v>0.21166888302</v>
      </c>
      <c r="F141" s="193">
        <v>0.21166888302</v>
      </c>
      <c r="G141" s="193">
        <v>0.21166888302</v>
      </c>
      <c r="H141" s="193">
        <v>0.21166888302</v>
      </c>
      <c r="I141" s="193">
        <v>0.21166888302</v>
      </c>
      <c r="J141" s="193">
        <v>0.21166888302</v>
      </c>
      <c r="K141" s="193">
        <v>0.21166888302</v>
      </c>
      <c r="L141" s="193">
        <v>0.21166888302</v>
      </c>
      <c r="M141" s="193">
        <v>0.31750332452999991</v>
      </c>
      <c r="N141" s="193">
        <v>0.31750332452999991</v>
      </c>
      <c r="O141" s="193">
        <v>0.42333776604000001</v>
      </c>
      <c r="P141" s="193">
        <v>0.42333776604000001</v>
      </c>
      <c r="Q141" s="193">
        <v>0.42333776604000001</v>
      </c>
      <c r="R141" s="193">
        <v>0.42333776604000001</v>
      </c>
      <c r="S141" s="193">
        <v>0.42333776604000001</v>
      </c>
      <c r="T141" s="193">
        <v>1.0583444151000001</v>
      </c>
      <c r="U141" s="193">
        <v>1.16417885661</v>
      </c>
      <c r="V141" s="193">
        <v>1.16417885661</v>
      </c>
      <c r="W141" s="193">
        <v>1.16417885661</v>
      </c>
      <c r="X141" s="193">
        <v>1.16417885661</v>
      </c>
      <c r="Y141" s="193">
        <v>1.16417885661</v>
      </c>
      <c r="Z141" s="193">
        <v>1.16417885661</v>
      </c>
      <c r="AA141" s="193">
        <v>1.16417885661</v>
      </c>
    </row>
    <row r="142" spans="1:27" x14ac:dyDescent="0.2">
      <c r="A142" s="212" t="s">
        <v>1277</v>
      </c>
      <c r="B142" s="196">
        <v>1.0094149051200001</v>
      </c>
      <c r="C142" s="196">
        <v>1.0094149051200001</v>
      </c>
      <c r="D142" s="196">
        <v>1.0094149051200001</v>
      </c>
      <c r="E142" s="196">
        <v>1.0094149051200001</v>
      </c>
      <c r="F142" s="196">
        <v>1.0094149051200001</v>
      </c>
      <c r="G142" s="196">
        <v>1.0094149051200001</v>
      </c>
      <c r="H142" s="196">
        <v>1.0094149051200001</v>
      </c>
      <c r="I142" s="196">
        <v>1.0094149051200001</v>
      </c>
      <c r="J142" s="196">
        <v>1.0094149051200001</v>
      </c>
      <c r="K142" s="196">
        <v>1.0094149051200001</v>
      </c>
      <c r="L142" s="196">
        <v>1.0094149051200001</v>
      </c>
      <c r="M142" s="196">
        <v>1.51412235768</v>
      </c>
      <c r="N142" s="196">
        <v>1.51412235768</v>
      </c>
      <c r="O142" s="196">
        <v>2.0188298102400002</v>
      </c>
      <c r="P142" s="196">
        <v>2.0188298102400002</v>
      </c>
      <c r="Q142" s="196">
        <v>2.0188298102400002</v>
      </c>
      <c r="R142" s="196">
        <v>2.0188298102400002</v>
      </c>
      <c r="S142" s="196">
        <v>2.0188298102400002</v>
      </c>
      <c r="T142" s="196">
        <v>5.0470745256000002</v>
      </c>
      <c r="U142" s="196">
        <v>5.5517819781600011</v>
      </c>
      <c r="V142" s="196">
        <v>5.5517819781600011</v>
      </c>
      <c r="W142" s="196">
        <v>5.5517819781600011</v>
      </c>
      <c r="X142" s="196">
        <v>5.5517819781600011</v>
      </c>
      <c r="Y142" s="196">
        <v>5.5517819781600011</v>
      </c>
      <c r="Z142" s="196">
        <v>5.5517819781600011</v>
      </c>
      <c r="AA142" s="196">
        <v>5.5517819781600011</v>
      </c>
    </row>
    <row r="143" spans="1:27" x14ac:dyDescent="0.2">
      <c r="A143" s="206" t="s">
        <v>1278</v>
      </c>
      <c r="B143" s="195">
        <v>0.25791015924000005</v>
      </c>
      <c r="C143" s="195">
        <v>0.25791015924000005</v>
      </c>
      <c r="D143" s="195">
        <v>0.25791015924000005</v>
      </c>
      <c r="E143" s="195">
        <v>0.25791015924000005</v>
      </c>
      <c r="F143" s="195">
        <v>0.25791015924000005</v>
      </c>
      <c r="G143" s="195">
        <v>0.25791015924000005</v>
      </c>
      <c r="H143" s="195">
        <v>0.25791015924000005</v>
      </c>
      <c r="I143" s="195">
        <v>0.25791015924000005</v>
      </c>
      <c r="J143" s="195">
        <v>0.25791015924000005</v>
      </c>
      <c r="K143" s="195">
        <v>0.25791015924000005</v>
      </c>
      <c r="L143" s="195">
        <v>0.25791015924000005</v>
      </c>
      <c r="M143" s="195">
        <v>0.38686523886000002</v>
      </c>
      <c r="N143" s="195">
        <v>0.38686523886000002</v>
      </c>
      <c r="O143" s="195">
        <v>0.5158203184800001</v>
      </c>
      <c r="P143" s="195">
        <v>0.5158203184800001</v>
      </c>
      <c r="Q143" s="195">
        <v>0.5158203184800001</v>
      </c>
      <c r="R143" s="195">
        <v>0.5158203184800001</v>
      </c>
      <c r="S143" s="195">
        <v>0.5158203184800001</v>
      </c>
      <c r="T143" s="195">
        <v>1.2895507962000001</v>
      </c>
      <c r="U143" s="195">
        <v>1.4185058758200002</v>
      </c>
      <c r="V143" s="195">
        <v>1.4185058758200002</v>
      </c>
      <c r="W143" s="195">
        <v>1.4185058758200002</v>
      </c>
      <c r="X143" s="195">
        <v>1.4185058758200002</v>
      </c>
      <c r="Y143" s="195">
        <v>1.4185058758200002</v>
      </c>
      <c r="Z143" s="195">
        <v>1.4185058758200002</v>
      </c>
      <c r="AA143" s="195">
        <v>1.4185058758200002</v>
      </c>
    </row>
    <row r="144" spans="1:27" x14ac:dyDescent="0.2">
      <c r="A144" s="207" t="s">
        <v>1279</v>
      </c>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1"/>
    </row>
    <row r="145" spans="1:28" x14ac:dyDescent="0.2">
      <c r="A145" s="213" t="s">
        <v>1280</v>
      </c>
      <c r="B145" s="193">
        <v>1.735358238601644</v>
      </c>
      <c r="C145" s="193">
        <v>1.3472243527758907</v>
      </c>
      <c r="D145" s="193">
        <v>0.96129523777315096</v>
      </c>
      <c r="E145" s="193">
        <v>1.6880969973698634</v>
      </c>
      <c r="F145" s="193">
        <v>1.1056794603879454</v>
      </c>
      <c r="G145" s="193">
        <v>0.48645921043726031</v>
      </c>
      <c r="H145" s="193">
        <v>0.90774003538849346</v>
      </c>
      <c r="I145" s="193">
        <v>1.6144727272372603</v>
      </c>
      <c r="J145" s="193">
        <v>1.7591019243879453</v>
      </c>
      <c r="K145" s="193">
        <v>3.2285157232438366</v>
      </c>
      <c r="L145" s="193">
        <v>4.4082753997019184</v>
      </c>
      <c r="M145" s="193">
        <v>4.6968400540799999</v>
      </c>
      <c r="N145" s="193">
        <v>4.5197799972164381</v>
      </c>
      <c r="O145" s="193">
        <v>9.8304130210980833</v>
      </c>
      <c r="P145" s="193">
        <v>12.572168026783563</v>
      </c>
      <c r="Q145" s="193">
        <v>12.18105675813699</v>
      </c>
      <c r="R145" s="193">
        <v>11.281755236883285</v>
      </c>
      <c r="S145" s="193">
        <v>14.810801868335343</v>
      </c>
      <c r="T145" s="193">
        <v>6.9129358963989054</v>
      </c>
      <c r="U145" s="193">
        <v>8.8022360497709595</v>
      </c>
      <c r="V145" s="193">
        <v>8.4075066956712341</v>
      </c>
      <c r="W145" s="193">
        <v>6.8609447622049329</v>
      </c>
      <c r="X145" s="193">
        <v>3.5765900037172611</v>
      </c>
      <c r="Y145" s="193">
        <v>2.1107000693391784</v>
      </c>
      <c r="Z145" s="193">
        <v>1.4024598418849317</v>
      </c>
      <c r="AA145" s="193">
        <v>2.0099213141128769</v>
      </c>
    </row>
    <row r="146" spans="1:28" x14ac:dyDescent="0.2">
      <c r="A146" s="212" t="s">
        <v>1281</v>
      </c>
      <c r="B146" s="215">
        <v>9.4201365601972627E-3</v>
      </c>
      <c r="C146" s="215">
        <v>7.1155916131068518E-3</v>
      </c>
      <c r="D146" s="215">
        <v>4.8241374927780831E-3</v>
      </c>
      <c r="E146" s="215">
        <v>9.139522940383565E-3</v>
      </c>
      <c r="F146" s="215">
        <v>5.6814188145534262E-3</v>
      </c>
      <c r="G146" s="215">
        <v>2.0047985804712335E-3</v>
      </c>
      <c r="H146" s="215">
        <v>4.5061534786191796E-3</v>
      </c>
      <c r="I146" s="215">
        <v>8.7023788364712345E-3</v>
      </c>
      <c r="J146" s="215">
        <v>9.561114694553426E-3</v>
      </c>
      <c r="K146" s="215">
        <v>1.8285759125260276E-2</v>
      </c>
      <c r="L146" s="215">
        <v>2.5290582204230142E-2</v>
      </c>
      <c r="M146" s="215">
        <v>2.6643300969600006E-2</v>
      </c>
      <c r="N146" s="215">
        <v>2.5592006881972603E-2</v>
      </c>
      <c r="O146" s="196">
        <v>5.6673098123769881E-2</v>
      </c>
      <c r="P146" s="196">
        <v>7.295226847002742E-2</v>
      </c>
      <c r="Q146" s="196">
        <v>7.0630045312438383E-2</v>
      </c>
      <c r="R146" s="196">
        <v>6.5290442529994525E-2</v>
      </c>
      <c r="S146" s="196">
        <v>8.6244156904241115E-2</v>
      </c>
      <c r="T146" s="215">
        <v>3.9350577695868499E-2</v>
      </c>
      <c r="U146" s="196">
        <v>5.056829735651508E-2</v>
      </c>
      <c r="V146" s="215">
        <v>4.8224591816547958E-2</v>
      </c>
      <c r="W146" s="215">
        <v>3.904188033659179E-2</v>
      </c>
      <c r="X146" s="215">
        <v>1.9541023958071238E-2</v>
      </c>
      <c r="Y146" s="215">
        <v>1.0837302472701373E-2</v>
      </c>
      <c r="Z146" s="215">
        <v>6.6321261221917822E-3</v>
      </c>
      <c r="AA146" s="215">
        <v>1.0238928613545209E-2</v>
      </c>
    </row>
    <row r="147" spans="1:28" x14ac:dyDescent="0.2">
      <c r="A147" s="206" t="s">
        <v>1282</v>
      </c>
      <c r="B147" s="195">
        <v>0.11753607599999998</v>
      </c>
      <c r="C147" s="195">
        <v>0.11753607599999998</v>
      </c>
      <c r="D147" s="195">
        <v>0.11753607599999998</v>
      </c>
      <c r="E147" s="195">
        <v>0.11753607599999998</v>
      </c>
      <c r="F147" s="195">
        <v>0.11753607599999998</v>
      </c>
      <c r="G147" s="195">
        <v>0.11753607599999998</v>
      </c>
      <c r="H147" s="195">
        <v>0.11753607599999998</v>
      </c>
      <c r="I147" s="195">
        <v>0.11753607599999998</v>
      </c>
      <c r="J147" s="195">
        <v>0.11753607599999998</v>
      </c>
      <c r="K147" s="195">
        <v>0.11753607599999998</v>
      </c>
      <c r="L147" s="195">
        <v>0.11753607599999998</v>
      </c>
      <c r="M147" s="195">
        <v>0.17630411399999993</v>
      </c>
      <c r="N147" s="195">
        <v>0.17630411399999993</v>
      </c>
      <c r="O147" s="195">
        <v>0.23507215199999995</v>
      </c>
      <c r="P147" s="195">
        <v>0.23507215199999995</v>
      </c>
      <c r="Q147" s="195">
        <v>0.23507215199999995</v>
      </c>
      <c r="R147" s="195">
        <v>0.23507215199999995</v>
      </c>
      <c r="S147" s="195">
        <v>0.23507215199999995</v>
      </c>
      <c r="T147" s="195">
        <v>0.58768038</v>
      </c>
      <c r="U147" s="195">
        <v>0.64644841799999997</v>
      </c>
      <c r="V147" s="195">
        <v>0.64644841799999997</v>
      </c>
      <c r="W147" s="195">
        <v>0.64644841799999997</v>
      </c>
      <c r="X147" s="195">
        <v>0.64644841799999997</v>
      </c>
      <c r="Y147" s="195">
        <v>0.64644841799999997</v>
      </c>
      <c r="Z147" s="195">
        <v>0.64644841799999997</v>
      </c>
      <c r="AA147" s="195">
        <v>0.64644841799999997</v>
      </c>
    </row>
    <row r="148" spans="1:28" ht="12.75" x14ac:dyDescent="0.2">
      <c r="A148" s="222" t="s">
        <v>1284</v>
      </c>
      <c r="B148" s="223"/>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c r="AA148" s="224"/>
    </row>
    <row r="149" spans="1:28" x14ac:dyDescent="0.2">
      <c r="A149" s="213" t="s">
        <v>1098</v>
      </c>
      <c r="B149" s="164">
        <v>1740.7274215391083</v>
      </c>
      <c r="C149" s="164">
        <v>1714.7743343017632</v>
      </c>
      <c r="D149" s="164">
        <v>1670.7703432682997</v>
      </c>
      <c r="E149" s="164">
        <v>1652.037296019819</v>
      </c>
      <c r="F149" s="164">
        <v>1665.0074239609266</v>
      </c>
      <c r="G149" s="164">
        <v>1536.4233296591485</v>
      </c>
      <c r="H149" s="164">
        <v>1448.4137379966496</v>
      </c>
      <c r="I149" s="164">
        <v>1406.2012237843503</v>
      </c>
      <c r="J149" s="164">
        <v>1356.5420273183856</v>
      </c>
      <c r="K149" s="164">
        <v>1275.6878639030886</v>
      </c>
      <c r="L149" s="164">
        <v>1218.7970792069452</v>
      </c>
      <c r="M149" s="164">
        <v>1169.0181994220302</v>
      </c>
      <c r="N149" s="164">
        <v>1110.669644414724</v>
      </c>
      <c r="O149" s="164">
        <v>1023.4756296508797</v>
      </c>
      <c r="P149" s="164">
        <v>981.75285305822376</v>
      </c>
      <c r="Q149" s="164">
        <v>931.91499265874893</v>
      </c>
      <c r="R149" s="164">
        <v>881.0654006967967</v>
      </c>
      <c r="S149" s="164">
        <v>726.80721563101315</v>
      </c>
      <c r="T149" s="164">
        <v>681.68879076735527</v>
      </c>
      <c r="U149" s="164">
        <v>620.18200230291905</v>
      </c>
      <c r="V149" s="164">
        <v>554.1264257420645</v>
      </c>
      <c r="W149" s="164">
        <v>502.09060863393393</v>
      </c>
      <c r="X149" s="164">
        <v>495.95452912848748</v>
      </c>
      <c r="Y149" s="164">
        <v>489.85811070889861</v>
      </c>
      <c r="Z149" s="164">
        <v>487.2511163064018</v>
      </c>
      <c r="AA149" s="164">
        <v>480.27188462354746</v>
      </c>
      <c r="AB149" s="239"/>
    </row>
    <row r="150" spans="1:28" x14ac:dyDescent="0.2">
      <c r="A150" s="212" t="s">
        <v>1170</v>
      </c>
      <c r="B150" s="182">
        <v>0</v>
      </c>
      <c r="C150" s="182">
        <v>0</v>
      </c>
      <c r="D150" s="182">
        <v>0</v>
      </c>
      <c r="E150" s="182">
        <v>20.53499274</v>
      </c>
      <c r="F150" s="182">
        <v>25.193813400000003</v>
      </c>
      <c r="G150" s="182">
        <v>19.693041840000003</v>
      </c>
      <c r="H150" s="182">
        <v>23.925349800000003</v>
      </c>
      <c r="I150" s="182">
        <v>30.296923740000004</v>
      </c>
      <c r="J150" s="182">
        <v>25.982182980000005</v>
      </c>
      <c r="K150" s="182">
        <v>32.920771320000007</v>
      </c>
      <c r="L150" s="182">
        <v>29.867637600000005</v>
      </c>
      <c r="M150" s="182">
        <v>36.935325720000009</v>
      </c>
      <c r="N150" s="182">
        <v>155.51174988000002</v>
      </c>
      <c r="O150" s="182">
        <v>123.22798380000002</v>
      </c>
      <c r="P150" s="182">
        <v>110.53520082000001</v>
      </c>
      <c r="Q150" s="182">
        <v>48.298841280000005</v>
      </c>
      <c r="R150" s="182">
        <v>62.733209760000015</v>
      </c>
      <c r="S150" s="182">
        <v>56.257805160000011</v>
      </c>
      <c r="T150" s="182">
        <v>50.311068300000009</v>
      </c>
      <c r="U150" s="182">
        <v>63.89210322000001</v>
      </c>
      <c r="V150" s="182">
        <v>54.53919684000001</v>
      </c>
      <c r="W150" s="182">
        <v>58.000238100000004</v>
      </c>
      <c r="X150" s="182">
        <v>45.142108020000009</v>
      </c>
      <c r="Y150" s="182">
        <v>40.471846920000004</v>
      </c>
      <c r="Z150" s="182">
        <v>40.844219760000001</v>
      </c>
      <c r="AA150" s="182">
        <v>41.216592600000006</v>
      </c>
    </row>
    <row r="151" spans="1:28" s="185" customFormat="1" x14ac:dyDescent="0.2">
      <c r="A151" s="237" t="s">
        <v>1172</v>
      </c>
      <c r="B151" s="184">
        <v>1740.7274215391083</v>
      </c>
      <c r="C151" s="184">
        <v>1714.7743343017632</v>
      </c>
      <c r="D151" s="184">
        <v>1670.7703432682997</v>
      </c>
      <c r="E151" s="184">
        <v>1631.5023032798192</v>
      </c>
      <c r="F151" s="184">
        <v>1639.8136105609267</v>
      </c>
      <c r="G151" s="184">
        <v>1516.7302878191485</v>
      </c>
      <c r="H151" s="184">
        <v>1424.4883881966498</v>
      </c>
      <c r="I151" s="184">
        <v>1375.9043000443503</v>
      </c>
      <c r="J151" s="184">
        <v>1330.5598443383856</v>
      </c>
      <c r="K151" s="184">
        <v>1242.7670925830885</v>
      </c>
      <c r="L151" s="184">
        <v>1188.9294416069451</v>
      </c>
      <c r="M151" s="184">
        <v>1132.0828737020302</v>
      </c>
      <c r="N151" s="184">
        <v>955.15789453472382</v>
      </c>
      <c r="O151" s="184">
        <v>900.24764585087962</v>
      </c>
      <c r="P151" s="184">
        <v>871.21765223822365</v>
      </c>
      <c r="Q151" s="184">
        <v>883.61615137874878</v>
      </c>
      <c r="R151" s="184">
        <v>818.33219093679668</v>
      </c>
      <c r="S151" s="184">
        <v>670.54941047101318</v>
      </c>
      <c r="T151" s="184">
        <v>631.37772246735517</v>
      </c>
      <c r="U151" s="184">
        <v>556.28989908291896</v>
      </c>
      <c r="V151" s="184">
        <v>499.58722890206451</v>
      </c>
      <c r="W151" s="184">
        <v>444.09037053393394</v>
      </c>
      <c r="X151" s="184">
        <v>450.81242110848746</v>
      </c>
      <c r="Y151" s="184">
        <v>449.38626378889865</v>
      </c>
      <c r="Z151" s="184">
        <v>446.40689654640175</v>
      </c>
      <c r="AA151" s="184">
        <v>439.05529202354745</v>
      </c>
    </row>
    <row r="152" spans="1:28" x14ac:dyDescent="0.2">
      <c r="A152" s="186" t="s">
        <v>1173</v>
      </c>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8"/>
    </row>
    <row r="153" spans="1:28" x14ac:dyDescent="0.2">
      <c r="A153" s="207" t="s">
        <v>1185</v>
      </c>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1"/>
    </row>
    <row r="154" spans="1:28" x14ac:dyDescent="0.2">
      <c r="A154" s="213" t="s">
        <v>1285</v>
      </c>
      <c r="B154" s="193">
        <v>267.98942570399993</v>
      </c>
      <c r="C154" s="193">
        <v>258.17865519599997</v>
      </c>
      <c r="D154" s="193">
        <v>243.27860495399995</v>
      </c>
      <c r="E154" s="193">
        <v>239.3195370585029</v>
      </c>
      <c r="F154" s="193">
        <v>246.27113440841873</v>
      </c>
      <c r="G154" s="193">
        <v>205.24333279728967</v>
      </c>
      <c r="H154" s="193">
        <v>199.62895510007647</v>
      </c>
      <c r="I154" s="193">
        <v>179.80031901648431</v>
      </c>
      <c r="J154" s="193">
        <v>167.07874597561479</v>
      </c>
      <c r="K154" s="193">
        <v>152.72856997470842</v>
      </c>
      <c r="L154" s="193">
        <v>140.91333941887876</v>
      </c>
      <c r="M154" s="193">
        <v>131.42503007169657</v>
      </c>
      <c r="N154" s="193">
        <v>117.11469423270613</v>
      </c>
      <c r="O154" s="193">
        <v>107.07199921776288</v>
      </c>
      <c r="P154" s="193">
        <v>98.453772423052683</v>
      </c>
      <c r="Q154" s="193">
        <v>88.94806074514338</v>
      </c>
      <c r="R154" s="193">
        <v>79.829168166111629</v>
      </c>
      <c r="S154" s="193">
        <v>70.970121500618973</v>
      </c>
      <c r="T154" s="193">
        <v>62.598330080689763</v>
      </c>
      <c r="U154" s="193">
        <v>54.124991616401417</v>
      </c>
      <c r="V154" s="193">
        <v>46.295363961344599</v>
      </c>
      <c r="W154" s="193">
        <v>38.964061977988393</v>
      </c>
      <c r="X154" s="193">
        <v>37.502432280694173</v>
      </c>
      <c r="Y154" s="193">
        <v>35.764215491037852</v>
      </c>
      <c r="Z154" s="193">
        <v>33.976236170119734</v>
      </c>
      <c r="AA154" s="193">
        <v>32.137337049770942</v>
      </c>
    </row>
    <row r="155" spans="1:28" x14ac:dyDescent="0.2">
      <c r="A155" s="212" t="s">
        <v>1286</v>
      </c>
      <c r="B155" s="196">
        <v>231.20083652345792</v>
      </c>
      <c r="C155" s="196">
        <v>218.20201033583177</v>
      </c>
      <c r="D155" s="196">
        <v>211.4171536302251</v>
      </c>
      <c r="E155" s="196">
        <v>204.22207723728249</v>
      </c>
      <c r="F155" s="196">
        <v>197.40888436685691</v>
      </c>
      <c r="G155" s="196">
        <v>180.88883706064598</v>
      </c>
      <c r="H155" s="196">
        <v>164.16320873694107</v>
      </c>
      <c r="I155" s="196">
        <v>156.93144710732165</v>
      </c>
      <c r="J155" s="196">
        <v>149.37153260730796</v>
      </c>
      <c r="K155" s="196">
        <v>140.1322806148504</v>
      </c>
      <c r="L155" s="196">
        <v>131.76281127472026</v>
      </c>
      <c r="M155" s="196">
        <v>123.96661435653918</v>
      </c>
      <c r="N155" s="196">
        <v>113.94504064057516</v>
      </c>
      <c r="O155" s="196">
        <v>103.0845052065026</v>
      </c>
      <c r="P155" s="196">
        <v>100.50293757343429</v>
      </c>
      <c r="Q155" s="196">
        <v>91.261858362514147</v>
      </c>
      <c r="R155" s="196">
        <v>86.247970288675461</v>
      </c>
      <c r="S155" s="196">
        <v>80.074915166736247</v>
      </c>
      <c r="T155" s="196">
        <v>74.689570446447746</v>
      </c>
      <c r="U155" s="196">
        <v>67.355136987754165</v>
      </c>
      <c r="V155" s="196">
        <v>62.566163285672843</v>
      </c>
      <c r="W155" s="196">
        <v>55.969735486845998</v>
      </c>
      <c r="X155" s="196">
        <v>54.868962615511471</v>
      </c>
      <c r="Y155" s="196">
        <v>52.21263747060091</v>
      </c>
      <c r="Z155" s="196">
        <v>50.404717081765867</v>
      </c>
      <c r="AA155" s="196">
        <v>48.116177551925617</v>
      </c>
    </row>
    <row r="156" spans="1:28" x14ac:dyDescent="0.2">
      <c r="A156" s="212" t="s">
        <v>1287</v>
      </c>
      <c r="B156" s="196">
        <v>27.498669960607312</v>
      </c>
      <c r="C156" s="196">
        <v>27.982382586230599</v>
      </c>
      <c r="D156" s="196">
        <v>27.709426664505699</v>
      </c>
      <c r="E156" s="196">
        <v>29.40875417034859</v>
      </c>
      <c r="F156" s="196">
        <v>32.103754950656388</v>
      </c>
      <c r="G156" s="196">
        <v>32.72283435511941</v>
      </c>
      <c r="H156" s="196">
        <v>32.463864705436315</v>
      </c>
      <c r="I156" s="196">
        <v>35.566663350239374</v>
      </c>
      <c r="J156" s="196">
        <v>34.416677808570526</v>
      </c>
      <c r="K156" s="196">
        <v>33.506161992553459</v>
      </c>
      <c r="L156" s="196">
        <v>35.332124417070467</v>
      </c>
      <c r="M156" s="196">
        <v>36.560958172474059</v>
      </c>
      <c r="N156" s="196">
        <v>37.949642643759454</v>
      </c>
      <c r="O156" s="196">
        <v>39.129988232155824</v>
      </c>
      <c r="P156" s="196">
        <v>41.348655089129139</v>
      </c>
      <c r="Q156" s="196">
        <v>41.589670554121398</v>
      </c>
      <c r="R156" s="196">
        <v>42.663764778538457</v>
      </c>
      <c r="S156" s="196">
        <v>43.4791793839563</v>
      </c>
      <c r="T156" s="196">
        <v>44.281683059772654</v>
      </c>
      <c r="U156" s="196">
        <v>45.310552408155075</v>
      </c>
      <c r="V156" s="196">
        <v>46.317325521094929</v>
      </c>
      <c r="W156" s="196">
        <v>47.296966611055176</v>
      </c>
      <c r="X156" s="196">
        <v>47.183286631658106</v>
      </c>
      <c r="Y156" s="196">
        <v>47.102211037841307</v>
      </c>
      <c r="Z156" s="196">
        <v>47.071251383877843</v>
      </c>
      <c r="AA156" s="196">
        <v>46.898941559787474</v>
      </c>
    </row>
    <row r="157" spans="1:28" x14ac:dyDescent="0.2">
      <c r="A157" s="212" t="s">
        <v>1288</v>
      </c>
      <c r="B157" s="196">
        <v>59.433187107600006</v>
      </c>
      <c r="C157" s="196">
        <v>48.800963154599998</v>
      </c>
      <c r="D157" s="196">
        <v>51.015397447800005</v>
      </c>
      <c r="E157" s="196">
        <v>53.525146097536926</v>
      </c>
      <c r="F157" s="196">
        <v>57.999133371624943</v>
      </c>
      <c r="G157" s="196">
        <v>58.466952989146812</v>
      </c>
      <c r="H157" s="196">
        <v>54.974623282951214</v>
      </c>
      <c r="I157" s="196">
        <v>61.796476124223823</v>
      </c>
      <c r="J157" s="196">
        <v>55.96864487427866</v>
      </c>
      <c r="K157" s="196">
        <v>54.465296189176165</v>
      </c>
      <c r="L157" s="196">
        <v>55.121064406111515</v>
      </c>
      <c r="M157" s="196">
        <v>56.858784182250119</v>
      </c>
      <c r="N157" s="196">
        <v>56.228334036968945</v>
      </c>
      <c r="O157" s="196">
        <v>49.092869225724257</v>
      </c>
      <c r="P157" s="196">
        <v>48.06241290456699</v>
      </c>
      <c r="Q157" s="196">
        <v>44.830427099584725</v>
      </c>
      <c r="R157" s="196">
        <v>41.670239256316897</v>
      </c>
      <c r="S157" s="196">
        <v>37.94839245180443</v>
      </c>
      <c r="T157" s="196">
        <v>33.34602762513429</v>
      </c>
      <c r="U157" s="196">
        <v>28.753709825105879</v>
      </c>
      <c r="V157" s="196">
        <v>23.823633301988558</v>
      </c>
      <c r="W157" s="196">
        <v>18.745762176710244</v>
      </c>
      <c r="X157" s="196">
        <v>19.097526839839762</v>
      </c>
      <c r="Y157" s="196">
        <v>19.476754186198686</v>
      </c>
      <c r="Z157" s="196">
        <v>19.913070450741415</v>
      </c>
      <c r="AA157" s="196">
        <v>20.383368901044889</v>
      </c>
    </row>
    <row r="158" spans="1:28" x14ac:dyDescent="0.2">
      <c r="A158" s="212" t="s">
        <v>1289</v>
      </c>
      <c r="B158" s="196">
        <v>250.04977167897454</v>
      </c>
      <c r="C158" s="196">
        <v>235.90729171306839</v>
      </c>
      <c r="D158" s="196">
        <v>233.83637499446198</v>
      </c>
      <c r="E158" s="196">
        <v>220.43815338418574</v>
      </c>
      <c r="F158" s="196">
        <v>201.31599505206327</v>
      </c>
      <c r="G158" s="196">
        <v>183.76235194271209</v>
      </c>
      <c r="H158" s="196">
        <v>166.97552774900353</v>
      </c>
      <c r="I158" s="196">
        <v>157.06094885494883</v>
      </c>
      <c r="J158" s="196">
        <v>147.43829030654592</v>
      </c>
      <c r="K158" s="196">
        <v>149.68022385369636</v>
      </c>
      <c r="L158" s="196">
        <v>142.25179997750061</v>
      </c>
      <c r="M158" s="196">
        <v>131.35033869604919</v>
      </c>
      <c r="N158" s="196">
        <v>120.0119561163294</v>
      </c>
      <c r="O158" s="196">
        <v>107.35571554958679</v>
      </c>
      <c r="P158" s="196">
        <v>102.0490521552029</v>
      </c>
      <c r="Q158" s="196">
        <v>111.55794759654864</v>
      </c>
      <c r="R158" s="196">
        <v>109.17905057813321</v>
      </c>
      <c r="S158" s="196">
        <v>100.0593148437147</v>
      </c>
      <c r="T158" s="196">
        <v>94.071994065945802</v>
      </c>
      <c r="U158" s="196">
        <v>85.678062790036876</v>
      </c>
      <c r="V158" s="196">
        <v>65.294811177800838</v>
      </c>
      <c r="W158" s="196">
        <v>60.016642812341694</v>
      </c>
      <c r="X158" s="196">
        <v>56.74541069123233</v>
      </c>
      <c r="Y158" s="196">
        <v>53.151589681797105</v>
      </c>
      <c r="Z158" s="196">
        <v>49.727494351166705</v>
      </c>
      <c r="AA158" s="196">
        <v>47.769130049054105</v>
      </c>
    </row>
    <row r="159" spans="1:28" x14ac:dyDescent="0.2">
      <c r="A159" s="212" t="s">
        <v>1290</v>
      </c>
      <c r="B159" s="196">
        <v>67.24369107426115</v>
      </c>
      <c r="C159" s="196">
        <v>79.122458103727041</v>
      </c>
      <c r="D159" s="196">
        <v>67.10943539576013</v>
      </c>
      <c r="E159" s="196">
        <v>65.255419570115848</v>
      </c>
      <c r="F159" s="196">
        <v>68.389001159517335</v>
      </c>
      <c r="G159" s="196">
        <v>64.416408949180678</v>
      </c>
      <c r="H159" s="196">
        <v>54.969690219052069</v>
      </c>
      <c r="I159" s="196">
        <v>58.497385076647703</v>
      </c>
      <c r="J159" s="196">
        <v>50.535882453981422</v>
      </c>
      <c r="K159" s="196">
        <v>48.049728406890075</v>
      </c>
      <c r="L159" s="196">
        <v>44.878014267817761</v>
      </c>
      <c r="M159" s="196">
        <v>43.034865939608345</v>
      </c>
      <c r="N159" s="196">
        <v>40.746680252544181</v>
      </c>
      <c r="O159" s="196">
        <v>37.644229590782629</v>
      </c>
      <c r="P159" s="196">
        <v>37.854244843841705</v>
      </c>
      <c r="Q159" s="196">
        <v>32.392008150379965</v>
      </c>
      <c r="R159" s="196">
        <v>29.634169217229278</v>
      </c>
      <c r="S159" s="196">
        <v>27.431625549777419</v>
      </c>
      <c r="T159" s="196">
        <v>25.507105563599154</v>
      </c>
      <c r="U159" s="196">
        <v>23.465312693025698</v>
      </c>
      <c r="V159" s="196">
        <v>21.546815065773075</v>
      </c>
      <c r="W159" s="196">
        <v>19.787537035641432</v>
      </c>
      <c r="X159" s="196">
        <v>19.37049044370297</v>
      </c>
      <c r="Y159" s="196">
        <v>19.114525798820981</v>
      </c>
      <c r="Z159" s="196">
        <v>18.901794215451268</v>
      </c>
      <c r="AA159" s="196">
        <v>18.56120141609545</v>
      </c>
    </row>
    <row r="160" spans="1:28" x14ac:dyDescent="0.2">
      <c r="A160" s="212" t="s">
        <v>1291</v>
      </c>
      <c r="B160" s="196">
        <v>3.3810459097592229</v>
      </c>
      <c r="C160" s="196">
        <v>3.4937292035571432</v>
      </c>
      <c r="D160" s="196">
        <v>3.7056875560117102</v>
      </c>
      <c r="E160" s="196">
        <v>4.1526048527286914</v>
      </c>
      <c r="F160" s="196">
        <v>4.7190017393344759</v>
      </c>
      <c r="G160" s="196">
        <v>5.0091824778616321</v>
      </c>
      <c r="H160" s="196">
        <v>5.152339175345424</v>
      </c>
      <c r="I160" s="196">
        <v>5.9263347799547077</v>
      </c>
      <c r="J160" s="196">
        <v>5.885646656648432</v>
      </c>
      <c r="K160" s="196">
        <v>6.0472738750540511</v>
      </c>
      <c r="L160" s="196">
        <v>6.8174616886886872</v>
      </c>
      <c r="M160" s="196">
        <v>7.1572136385120526</v>
      </c>
      <c r="N160" s="196">
        <v>7.7125496846122683</v>
      </c>
      <c r="O160" s="196">
        <v>7.984576454320691</v>
      </c>
      <c r="P160" s="196">
        <v>8.6476890672090683</v>
      </c>
      <c r="Q160" s="196">
        <v>9.1166863206245505</v>
      </c>
      <c r="R160" s="196">
        <v>9.6231267466284027</v>
      </c>
      <c r="S160" s="196">
        <v>10.090392556935175</v>
      </c>
      <c r="T160" s="196">
        <v>10.49432249097984</v>
      </c>
      <c r="U160" s="196">
        <v>10.857658144911182</v>
      </c>
      <c r="V160" s="196">
        <v>11.235890343902993</v>
      </c>
      <c r="W160" s="196">
        <v>11.651074215390809</v>
      </c>
      <c r="X160" s="196">
        <v>11.881764662894097</v>
      </c>
      <c r="Y160" s="196">
        <v>12.140478436130952</v>
      </c>
      <c r="Z160" s="196">
        <v>12.298209876970743</v>
      </c>
      <c r="AA160" s="196">
        <v>12.496932088731516</v>
      </c>
    </row>
    <row r="161" spans="1:27" x14ac:dyDescent="0.2">
      <c r="A161" s="206" t="s">
        <v>1292</v>
      </c>
      <c r="B161" s="195">
        <v>7.7790683708349677</v>
      </c>
      <c r="C161" s="195">
        <v>8.0148781665232836</v>
      </c>
      <c r="D161" s="195">
        <v>7.6839136982888796</v>
      </c>
      <c r="E161" s="195">
        <v>7.8797924278495461</v>
      </c>
      <c r="F161" s="195">
        <v>7.7286059268645264</v>
      </c>
      <c r="G161" s="195">
        <v>7.0799269332165355</v>
      </c>
      <c r="H161" s="195">
        <v>7.4436023508621805</v>
      </c>
      <c r="I161" s="195">
        <v>7.6920497999618469</v>
      </c>
      <c r="J161" s="195">
        <v>7.1712266316406339</v>
      </c>
      <c r="K161" s="195">
        <v>7.1442809993089123</v>
      </c>
      <c r="L161" s="195">
        <v>7.0246298520689612</v>
      </c>
      <c r="M161" s="195">
        <v>6.828187816251587</v>
      </c>
      <c r="N161" s="195">
        <v>6.6839716179039135</v>
      </c>
      <c r="O161" s="195">
        <v>6.6929453314890273</v>
      </c>
      <c r="P161" s="195">
        <v>6.9687596680341271</v>
      </c>
      <c r="Q161" s="195">
        <v>6.1082530302877345</v>
      </c>
      <c r="R161" s="195">
        <v>6.1093551512247712</v>
      </c>
      <c r="S161" s="195">
        <v>6.0201813216303339</v>
      </c>
      <c r="T161" s="195">
        <v>5.6175985857496666</v>
      </c>
      <c r="U161" s="195">
        <v>5.3229796168610868</v>
      </c>
      <c r="V161" s="195">
        <v>5.282103175885223</v>
      </c>
      <c r="W161" s="195">
        <v>5.1756970731508138</v>
      </c>
      <c r="X161" s="195">
        <v>4.9438108279983473</v>
      </c>
      <c r="Y161" s="195">
        <v>4.7665848830076127</v>
      </c>
      <c r="Z161" s="195">
        <v>4.5828392803848992</v>
      </c>
      <c r="AA161" s="195">
        <v>4.3859417012468827</v>
      </c>
    </row>
    <row r="162" spans="1:27" x14ac:dyDescent="0.2">
      <c r="A162" s="207" t="s">
        <v>1293</v>
      </c>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1"/>
    </row>
    <row r="163" spans="1:27" x14ac:dyDescent="0.2">
      <c r="A163" s="240" t="s">
        <v>1294</v>
      </c>
      <c r="B163" s="193">
        <v>140.5910787638617</v>
      </c>
      <c r="C163" s="193">
        <v>141.83415045182019</v>
      </c>
      <c r="D163" s="193">
        <v>139.63018692749804</v>
      </c>
      <c r="E163" s="193">
        <v>139.4205636112716</v>
      </c>
      <c r="F163" s="193">
        <v>142.59584969562684</v>
      </c>
      <c r="G163" s="193">
        <v>131.86331982575959</v>
      </c>
      <c r="H163" s="193">
        <v>123.90028321212088</v>
      </c>
      <c r="I163" s="193">
        <v>119.07875862676926</v>
      </c>
      <c r="J163" s="193">
        <v>116.74546266944128</v>
      </c>
      <c r="K163" s="193">
        <v>105.46780013934172</v>
      </c>
      <c r="L163" s="193">
        <v>98.916034050848893</v>
      </c>
      <c r="M163" s="193">
        <v>93.523993802803048</v>
      </c>
      <c r="N163" s="193">
        <v>88.206412197897563</v>
      </c>
      <c r="O163" s="193">
        <v>78.623173971868951</v>
      </c>
      <c r="P163" s="193">
        <v>72.287493221452394</v>
      </c>
      <c r="Q163" s="193">
        <v>64.938010072620528</v>
      </c>
      <c r="R163" s="193">
        <v>57.936833854172448</v>
      </c>
      <c r="S163" s="193">
        <v>31.616407739454399</v>
      </c>
      <c r="T163" s="193">
        <v>26.738050524581421</v>
      </c>
      <c r="U163" s="193">
        <v>20.242805619283576</v>
      </c>
      <c r="V163" s="193">
        <v>14.374198950311136</v>
      </c>
      <c r="W163" s="193">
        <v>8.510821862578366</v>
      </c>
      <c r="X163" s="193">
        <v>8.2005149723048678</v>
      </c>
      <c r="Y163" s="193">
        <v>8.3979945399403935</v>
      </c>
      <c r="Z163" s="193">
        <v>8.9388749163181966</v>
      </c>
      <c r="AA163" s="193">
        <v>8.6264437173673851</v>
      </c>
    </row>
    <row r="164" spans="1:27" x14ac:dyDescent="0.2">
      <c r="A164" s="212" t="s">
        <v>1295</v>
      </c>
      <c r="B164" s="196">
        <v>272.79889607629059</v>
      </c>
      <c r="C164" s="196">
        <v>275.21091671942355</v>
      </c>
      <c r="D164" s="196">
        <v>270.93440912225697</v>
      </c>
      <c r="E164" s="196">
        <v>270.39414619102979</v>
      </c>
      <c r="F164" s="196">
        <v>276.40097507286157</v>
      </c>
      <c r="G164" s="196">
        <v>255.44153254107192</v>
      </c>
      <c r="H164" s="196">
        <v>239.85135698655625</v>
      </c>
      <c r="I164" s="196">
        <v>230.3391535991355</v>
      </c>
      <c r="J164" s="196">
        <v>225.62653144644648</v>
      </c>
      <c r="K164" s="196">
        <v>203.62415309814864</v>
      </c>
      <c r="L164" s="196">
        <v>190.74973657253778</v>
      </c>
      <c r="M164" s="196">
        <v>180.10172229076935</v>
      </c>
      <c r="N164" s="196">
        <v>169.58057087367172</v>
      </c>
      <c r="O164" s="196">
        <v>150.85294140111057</v>
      </c>
      <c r="P164" s="196">
        <v>138.35170350615797</v>
      </c>
      <c r="Q164" s="196">
        <v>123.89218225512418</v>
      </c>
      <c r="R164" s="196">
        <v>110.07519031038144</v>
      </c>
      <c r="S164" s="196">
        <v>59.725481530428326</v>
      </c>
      <c r="T164" s="196">
        <v>50.089226714649122</v>
      </c>
      <c r="U164" s="196">
        <v>37.418000488303569</v>
      </c>
      <c r="V164" s="196">
        <v>25.920043161973023</v>
      </c>
      <c r="W164" s="196">
        <v>14.429006583501007</v>
      </c>
      <c r="X164" s="196">
        <v>13.902921061449486</v>
      </c>
      <c r="Y164" s="196">
        <v>14.237722332998684</v>
      </c>
      <c r="Z164" s="196">
        <v>15.154715619623234</v>
      </c>
      <c r="AA164" s="196">
        <v>14.625028604744672</v>
      </c>
    </row>
    <row r="165" spans="1:27" x14ac:dyDescent="0.2">
      <c r="A165" s="212" t="s">
        <v>1296</v>
      </c>
      <c r="B165" s="196">
        <v>6.5737268520827765</v>
      </c>
      <c r="C165" s="196">
        <v>6.631850125664891</v>
      </c>
      <c r="D165" s="196">
        <v>6.5287976821653846</v>
      </c>
      <c r="E165" s="196">
        <v>6.8542656998820775</v>
      </c>
      <c r="F165" s="196">
        <v>7.3904593165919454</v>
      </c>
      <c r="G165" s="196">
        <v>7.2259928053211278</v>
      </c>
      <c r="H165" s="196">
        <v>7.2025181189944254</v>
      </c>
      <c r="I165" s="196">
        <v>7.370449185114011</v>
      </c>
      <c r="J165" s="196">
        <v>7.7263057990607829</v>
      </c>
      <c r="K165" s="196">
        <v>7.4991258884403207</v>
      </c>
      <c r="L165" s="196">
        <v>7.5984644398314103</v>
      </c>
      <c r="M165" s="196">
        <v>7.8120353351183347</v>
      </c>
      <c r="N165" s="196">
        <v>8.0733193664179534</v>
      </c>
      <c r="O165" s="196">
        <v>7.9581703598523479</v>
      </c>
      <c r="P165" s="196">
        <v>8.1833915330729567</v>
      </c>
      <c r="Q165" s="196">
        <v>8.3389369073961603</v>
      </c>
      <c r="R165" s="196">
        <v>8.5944262817914421</v>
      </c>
      <c r="S165" s="196">
        <v>5.5515148859874861</v>
      </c>
      <c r="T165" s="196">
        <v>5.7513788272449773</v>
      </c>
      <c r="U165" s="196">
        <v>5.61852808982088</v>
      </c>
      <c r="V165" s="196">
        <v>5.6220551005489545</v>
      </c>
      <c r="W165" s="196">
        <v>5.6339288520732502</v>
      </c>
      <c r="X165" s="196">
        <v>5.4285142669324253</v>
      </c>
      <c r="Y165" s="196">
        <v>5.5592402827933283</v>
      </c>
      <c r="Z165" s="196">
        <v>5.917288143176104</v>
      </c>
      <c r="AA165" s="196">
        <v>5.7104673244022601</v>
      </c>
    </row>
    <row r="166" spans="1:27" x14ac:dyDescent="0.2">
      <c r="A166" s="212" t="s">
        <v>1297</v>
      </c>
      <c r="B166" s="196">
        <v>138.40671406817523</v>
      </c>
      <c r="C166" s="196">
        <v>139.63047214154838</v>
      </c>
      <c r="D166" s="196">
        <v>137.46075161582499</v>
      </c>
      <c r="E166" s="196">
        <v>136.95949780664469</v>
      </c>
      <c r="F166" s="196">
        <v>139.74442529094853</v>
      </c>
      <c r="G166" s="196">
        <v>128.88191830298243</v>
      </c>
      <c r="H166" s="196">
        <v>120.7357631785887</v>
      </c>
      <c r="I166" s="196">
        <v>115.64315652594122</v>
      </c>
      <c r="J166" s="196">
        <v>112.9371591336573</v>
      </c>
      <c r="K166" s="196">
        <v>101.57072988710109</v>
      </c>
      <c r="L166" s="196">
        <v>94.763937436818708</v>
      </c>
      <c r="M166" s="196">
        <v>89.046073564576389</v>
      </c>
      <c r="N166" s="196">
        <v>83.362607410197043</v>
      </c>
      <c r="O166" s="196">
        <v>73.635423861228745</v>
      </c>
      <c r="P166" s="196">
        <v>66.939525676984573</v>
      </c>
      <c r="Q166" s="196">
        <v>59.265166530516439</v>
      </c>
      <c r="R166" s="196">
        <v>51.860121053170843</v>
      </c>
      <c r="S166" s="196">
        <v>27.542585469158311</v>
      </c>
      <c r="T166" s="196">
        <v>22.363605235592591</v>
      </c>
      <c r="U166" s="196">
        <v>15.819003129554357</v>
      </c>
      <c r="V166" s="196">
        <v>9.7971227830195105</v>
      </c>
      <c r="W166" s="196">
        <v>3.7732644342342994</v>
      </c>
      <c r="X166" s="196">
        <v>3.6356901821030112</v>
      </c>
      <c r="Y166" s="196">
        <v>3.7232425526118398</v>
      </c>
      <c r="Z166" s="196">
        <v>3.963041331192235</v>
      </c>
      <c r="AA166" s="196">
        <v>3.8245252689151275</v>
      </c>
    </row>
    <row r="167" spans="1:27" x14ac:dyDescent="0.2">
      <c r="A167" s="212" t="s">
        <v>1298</v>
      </c>
      <c r="B167" s="196">
        <v>0.65270183894420686</v>
      </c>
      <c r="C167" s="196">
        <v>0.65847286783027703</v>
      </c>
      <c r="D167" s="196">
        <v>0.64824084558577033</v>
      </c>
      <c r="E167" s="196">
        <v>0.6530035014135116</v>
      </c>
      <c r="F167" s="196">
        <v>0.67437818986868614</v>
      </c>
      <c r="G167" s="196">
        <v>0.63032348281972761</v>
      </c>
      <c r="H167" s="196">
        <v>0.59932298433231423</v>
      </c>
      <c r="I167" s="196">
        <v>0.58366870894433576</v>
      </c>
      <c r="J167" s="196">
        <v>0.58079079969033998</v>
      </c>
      <c r="K167" s="196">
        <v>0.53356844666525094</v>
      </c>
      <c r="L167" s="196">
        <v>0.51009202657504271</v>
      </c>
      <c r="M167" s="196">
        <v>0.49302629204369014</v>
      </c>
      <c r="N167" s="196">
        <v>0.47706295725045367</v>
      </c>
      <c r="O167" s="196">
        <v>0.43826826794389162</v>
      </c>
      <c r="P167" s="196">
        <v>0.41777580033304035</v>
      </c>
      <c r="Q167" s="196">
        <v>0.39219565521092398</v>
      </c>
      <c r="R167" s="196">
        <v>0.36966377734836975</v>
      </c>
      <c r="S167" s="196">
        <v>0.216465890039229</v>
      </c>
      <c r="T167" s="196">
        <v>0.20113954130971945</v>
      </c>
      <c r="U167" s="196">
        <v>0.17390797978819394</v>
      </c>
      <c r="V167" s="196">
        <v>0.15141752003831324</v>
      </c>
      <c r="W167" s="196">
        <v>9.4135622599906016E-2</v>
      </c>
      <c r="X167" s="196">
        <v>9.1721729543013858E-2</v>
      </c>
      <c r="Y167" s="196">
        <v>7.5365772367280176E-2</v>
      </c>
      <c r="Z167" s="196">
        <v>7.6558312264060235E-2</v>
      </c>
      <c r="AA167" s="196">
        <v>0.21906293183999997</v>
      </c>
    </row>
    <row r="168" spans="1:27" x14ac:dyDescent="0.2">
      <c r="A168" s="212" t="s">
        <v>1299</v>
      </c>
      <c r="B168" s="196">
        <v>104.74095077429851</v>
      </c>
      <c r="C168" s="196">
        <v>105.66704446119648</v>
      </c>
      <c r="D168" s="196">
        <v>104.02508227526641</v>
      </c>
      <c r="E168" s="196">
        <v>103.5835476033519</v>
      </c>
      <c r="F168" s="196">
        <v>105.61913799298306</v>
      </c>
      <c r="G168" s="196">
        <v>97.336211596611506</v>
      </c>
      <c r="H168" s="196">
        <v>91.106784229894416</v>
      </c>
      <c r="I168" s="196">
        <v>87.179907229275372</v>
      </c>
      <c r="J168" s="196">
        <v>85.045844586187116</v>
      </c>
      <c r="K168" s="196">
        <v>76.388475397057789</v>
      </c>
      <c r="L168" s="196">
        <v>71.162083703868205</v>
      </c>
      <c r="M168" s="196">
        <v>66.748618509520611</v>
      </c>
      <c r="N168" s="196">
        <v>62.352977615246978</v>
      </c>
      <c r="O168" s="196">
        <v>54.930041153980888</v>
      </c>
      <c r="P168" s="196">
        <v>49.766088790000097</v>
      </c>
      <c r="Q168" s="196">
        <v>43.8658066812622</v>
      </c>
      <c r="R168" s="196">
        <v>38.153809322597048</v>
      </c>
      <c r="S168" s="196">
        <v>20.087455432840169</v>
      </c>
      <c r="T168" s="196">
        <v>16.088796423224622</v>
      </c>
      <c r="U168" s="196">
        <v>11.104390408355734</v>
      </c>
      <c r="V168" s="196">
        <v>6.495693579192114</v>
      </c>
      <c r="W168" s="196">
        <v>1.8839966143156339</v>
      </c>
      <c r="X168" s="196">
        <v>1.8153055830481817</v>
      </c>
      <c r="Y168" s="196">
        <v>1.8590206134916851</v>
      </c>
      <c r="Z168" s="196">
        <v>1.9787525047589793</v>
      </c>
      <c r="AA168" s="196">
        <v>1.9095912262674126</v>
      </c>
    </row>
    <row r="169" spans="1:27" x14ac:dyDescent="0.2">
      <c r="A169" s="212" t="s">
        <v>1300</v>
      </c>
      <c r="B169" s="196">
        <v>0.20914457159441247</v>
      </c>
      <c r="C169" s="196">
        <v>0.21099377637984479</v>
      </c>
      <c r="D169" s="196">
        <v>0.20771514013096676</v>
      </c>
      <c r="E169" s="196">
        <v>0.22572155513375958</v>
      </c>
      <c r="F169" s="196">
        <v>0.2516293827179657</v>
      </c>
      <c r="G169" s="196">
        <v>0.25409619452193594</v>
      </c>
      <c r="H169" s="196">
        <v>0.26131106667032555</v>
      </c>
      <c r="I169" s="196">
        <v>0.27563149814891802</v>
      </c>
      <c r="J169" s="196">
        <v>0.29756446751374716</v>
      </c>
      <c r="K169" s="196">
        <v>0.2971865015425289</v>
      </c>
      <c r="L169" s="196">
        <v>0.30960558194706039</v>
      </c>
      <c r="M169" s="196">
        <v>0.3270284598162152</v>
      </c>
      <c r="N169" s="196">
        <v>0.34697880304836104</v>
      </c>
      <c r="O169" s="196">
        <v>0.35091376940570124</v>
      </c>
      <c r="P169" s="196">
        <v>0.36998016003224288</v>
      </c>
      <c r="Q169" s="196">
        <v>0.38632148957629903</v>
      </c>
      <c r="R169" s="196">
        <v>0.40775181523784543</v>
      </c>
      <c r="S169" s="196">
        <v>0.26958197326550926</v>
      </c>
      <c r="T169" s="196">
        <v>0.28570778059200397</v>
      </c>
      <c r="U169" s="196">
        <v>0.28538032971481986</v>
      </c>
      <c r="V169" s="196">
        <v>0.29183550863037011</v>
      </c>
      <c r="W169" s="196">
        <v>0.21784951984236064</v>
      </c>
      <c r="X169" s="196">
        <v>0.21226326642552407</v>
      </c>
      <c r="Y169" s="196">
        <v>0.1744121605541602</v>
      </c>
      <c r="Z169" s="196">
        <v>0.1771719473036521</v>
      </c>
      <c r="AA169" s="196">
        <v>0.61042027679999999</v>
      </c>
    </row>
    <row r="170" spans="1:27" x14ac:dyDescent="0.2">
      <c r="A170" s="212" t="s">
        <v>1301</v>
      </c>
      <c r="B170" s="196">
        <v>8.071274477532894</v>
      </c>
      <c r="C170" s="196">
        <v>8.1426386983424859</v>
      </c>
      <c r="D170" s="196">
        <v>8.0161100828735563</v>
      </c>
      <c r="E170" s="196">
        <v>8.3859095401741222</v>
      </c>
      <c r="F170" s="196">
        <v>9.009775203421194</v>
      </c>
      <c r="G170" s="196">
        <v>8.7778429883596765</v>
      </c>
      <c r="H170" s="196">
        <v>8.7179993783289653</v>
      </c>
      <c r="I170" s="196">
        <v>8.8892068735091776</v>
      </c>
      <c r="J170" s="196">
        <v>9.2847857033966434</v>
      </c>
      <c r="K170" s="196">
        <v>8.9791635189167653</v>
      </c>
      <c r="L170" s="196">
        <v>9.0650579706816732</v>
      </c>
      <c r="M170" s="196">
        <v>9.2858719535291598</v>
      </c>
      <c r="N170" s="196">
        <v>9.5613353506711647</v>
      </c>
      <c r="O170" s="196">
        <v>9.3903486704683115</v>
      </c>
      <c r="P170" s="196">
        <v>9.620507537110683</v>
      </c>
      <c r="Q170" s="196">
        <v>9.7670984245406718</v>
      </c>
      <c r="R170" s="196">
        <v>10.02896233835857</v>
      </c>
      <c r="S170" s="196">
        <v>6.4539978718972515</v>
      </c>
      <c r="T170" s="196">
        <v>6.6613369791735275</v>
      </c>
      <c r="U170" s="196">
        <v>6.4830292624755135</v>
      </c>
      <c r="V170" s="196">
        <v>6.4626457066690346</v>
      </c>
      <c r="W170" s="196">
        <v>6.4517898820679314</v>
      </c>
      <c r="X170" s="196">
        <v>6.216555860333159</v>
      </c>
      <c r="Y170" s="196">
        <v>6.3662589908837095</v>
      </c>
      <c r="Z170" s="196">
        <v>6.776283615540371</v>
      </c>
      <c r="AA170" s="196">
        <v>6.5394392213348835</v>
      </c>
    </row>
    <row r="171" spans="1:27" x14ac:dyDescent="0.2">
      <c r="A171" s="212" t="s">
        <v>1302</v>
      </c>
      <c r="B171" s="196">
        <v>0.59531506510177734</v>
      </c>
      <c r="C171" s="196">
        <v>0.60057869426907418</v>
      </c>
      <c r="D171" s="196">
        <v>0.59124629067348389</v>
      </c>
      <c r="E171" s="196">
        <v>0.70135572961742576</v>
      </c>
      <c r="F171" s="196">
        <v>0.84316423293340259</v>
      </c>
      <c r="G171" s="196">
        <v>0.90940876235529056</v>
      </c>
      <c r="H171" s="196">
        <v>0.99118647284752559</v>
      </c>
      <c r="I171" s="196">
        <v>1.101004220934471</v>
      </c>
      <c r="J171" s="196">
        <v>1.2450564107143507</v>
      </c>
      <c r="K171" s="196">
        <v>1.2966688965651545</v>
      </c>
      <c r="L171" s="196">
        <v>1.403235518937463</v>
      </c>
      <c r="M171" s="196">
        <v>1.5345789732353394</v>
      </c>
      <c r="N171" s="196">
        <v>1.6808813916906062</v>
      </c>
      <c r="O171" s="196">
        <v>1.7505288572415931</v>
      </c>
      <c r="P171" s="196">
        <v>1.8963411873469145</v>
      </c>
      <c r="Q171" s="196">
        <v>2.0304869356770188</v>
      </c>
      <c r="R171" s="196">
        <v>2.1938040242781014</v>
      </c>
      <c r="S171" s="196">
        <v>1.4823830090851036</v>
      </c>
      <c r="T171" s="196">
        <v>1.6034118339218131</v>
      </c>
      <c r="U171" s="196">
        <v>1.6324723637725376</v>
      </c>
      <c r="V171" s="196">
        <v>1.6996362738124058</v>
      </c>
      <c r="W171" s="196">
        <v>1.2903670981350761</v>
      </c>
      <c r="X171" s="196">
        <v>1.2572785808129048</v>
      </c>
      <c r="Y171" s="196">
        <v>1.033078767658494</v>
      </c>
      <c r="Z171" s="196">
        <v>1.0494255469490359</v>
      </c>
      <c r="AA171" s="196">
        <v>0.41221084031999994</v>
      </c>
    </row>
    <row r="172" spans="1:27" x14ac:dyDescent="0.2">
      <c r="A172" s="206" t="s">
        <v>1303</v>
      </c>
      <c r="B172" s="195">
        <v>0.43767750262003818</v>
      </c>
      <c r="C172" s="195">
        <v>0.44154733928924228</v>
      </c>
      <c r="D172" s="195">
        <v>0.43468612690171116</v>
      </c>
      <c r="E172" s="195">
        <v>0.4563557265644661</v>
      </c>
      <c r="F172" s="195">
        <v>0.49205539714144286</v>
      </c>
      <c r="G172" s="195">
        <v>0.48110524762392287</v>
      </c>
      <c r="H172" s="195">
        <v>0.47954230740485909</v>
      </c>
      <c r="I172" s="195">
        <v>0.49072312633533433</v>
      </c>
      <c r="J172" s="195">
        <v>0.51441599304361563</v>
      </c>
      <c r="K172" s="195">
        <v>0.49929039714297291</v>
      </c>
      <c r="L172" s="195">
        <v>0.50590433928949963</v>
      </c>
      <c r="M172" s="195">
        <v>0.52012384949806434</v>
      </c>
      <c r="N172" s="195">
        <v>0.53752009136617307</v>
      </c>
      <c r="O172" s="195">
        <v>0.52985349207526322</v>
      </c>
      <c r="P172" s="195">
        <v>0.54484867560667505</v>
      </c>
      <c r="Q172" s="195">
        <v>0.55520485749706017</v>
      </c>
      <c r="R172" s="195">
        <v>0.572215292193758</v>
      </c>
      <c r="S172" s="195">
        <v>0.3696188213672334</v>
      </c>
      <c r="T172" s="195">
        <v>0.38292572514369033</v>
      </c>
      <c r="U172" s="195">
        <v>0.37408054792757484</v>
      </c>
      <c r="V172" s="195">
        <v>0.37431537564127704</v>
      </c>
      <c r="W172" s="195">
        <v>0.3751059277939327</v>
      </c>
      <c r="X172" s="195">
        <v>0.36142946318730207</v>
      </c>
      <c r="Y172" s="195">
        <v>0.37013317683967878</v>
      </c>
      <c r="Z172" s="195">
        <v>0.39397193632527117</v>
      </c>
      <c r="AA172" s="195">
        <v>0.38020184494672715</v>
      </c>
    </row>
    <row r="173" spans="1:27" x14ac:dyDescent="0.2">
      <c r="A173" s="207" t="s">
        <v>1304</v>
      </c>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1"/>
    </row>
    <row r="174" spans="1:27" x14ac:dyDescent="0.2">
      <c r="A174" s="213" t="s">
        <v>1305</v>
      </c>
      <c r="B174" s="193">
        <v>58.39131628033811</v>
      </c>
      <c r="C174" s="193">
        <v>59.808438542552068</v>
      </c>
      <c r="D174" s="193">
        <v>60.648786090888414</v>
      </c>
      <c r="E174" s="193">
        <v>61.240934600747408</v>
      </c>
      <c r="F174" s="193">
        <v>62.302526700365881</v>
      </c>
      <c r="G174" s="193">
        <v>63.482635619359108</v>
      </c>
      <c r="H174" s="193">
        <v>64.669903946171274</v>
      </c>
      <c r="I174" s="193">
        <v>65.792724126858431</v>
      </c>
      <c r="J174" s="193">
        <v>67.133207956246167</v>
      </c>
      <c r="K174" s="193">
        <v>68.309292568216506</v>
      </c>
      <c r="L174" s="193">
        <v>69.51185283883008</v>
      </c>
      <c r="M174" s="193">
        <v>70.728002194358979</v>
      </c>
      <c r="N174" s="193">
        <v>71.791893823538842</v>
      </c>
      <c r="O174" s="193">
        <v>72.714156895298302</v>
      </c>
      <c r="P174" s="193">
        <v>73.548505558864548</v>
      </c>
      <c r="Q174" s="193">
        <v>75.004745524343164</v>
      </c>
      <c r="R174" s="193">
        <v>75.647886453265855</v>
      </c>
      <c r="S174" s="193">
        <v>76.640262342316873</v>
      </c>
      <c r="T174" s="193">
        <v>76.941306276845509</v>
      </c>
      <c r="U174" s="193">
        <v>77.159011290900992</v>
      </c>
      <c r="V174" s="193">
        <v>77.398809112163406</v>
      </c>
      <c r="W174" s="193">
        <v>77.882688198237872</v>
      </c>
      <c r="X174" s="193">
        <v>78.390499182094331</v>
      </c>
      <c r="Y174" s="193">
        <v>78.906229055384685</v>
      </c>
      <c r="Z174" s="193">
        <v>79.4241063832294</v>
      </c>
      <c r="AA174" s="193">
        <v>79.4241063832294</v>
      </c>
    </row>
    <row r="175" spans="1:27" x14ac:dyDescent="0.2">
      <c r="A175" s="206" t="s">
        <v>1306</v>
      </c>
      <c r="B175" s="195">
        <v>43.361656427642721</v>
      </c>
      <c r="C175" s="195">
        <v>44.521569915213924</v>
      </c>
      <c r="D175" s="195">
        <v>44.964801710640799</v>
      </c>
      <c r="E175" s="195">
        <v>45.502678007911044</v>
      </c>
      <c r="F175" s="195">
        <v>46.108848640770404</v>
      </c>
      <c r="G175" s="195">
        <v>47.170379738119365</v>
      </c>
      <c r="H175" s="195">
        <v>47.95278596759232</v>
      </c>
      <c r="I175" s="195">
        <v>48.634055060980479</v>
      </c>
      <c r="J175" s="195">
        <v>51.305321416412163</v>
      </c>
      <c r="K175" s="195">
        <v>50.992195392006401</v>
      </c>
      <c r="L175" s="195">
        <v>50.919666729738083</v>
      </c>
      <c r="M175" s="195">
        <v>50.748376047959049</v>
      </c>
      <c r="N175" s="195">
        <v>51.301534857611678</v>
      </c>
      <c r="O175" s="195">
        <v>52.152215954505124</v>
      </c>
      <c r="P175" s="195">
        <v>52.067685166270238</v>
      </c>
      <c r="Q175" s="195">
        <v>52.605434920444331</v>
      </c>
      <c r="R175" s="195">
        <v>53.218273401062881</v>
      </c>
      <c r="S175" s="195">
        <v>53.606322672479685</v>
      </c>
      <c r="T175" s="195">
        <v>55.186213228037282</v>
      </c>
      <c r="U175" s="195">
        <v>53.829057989889925</v>
      </c>
      <c r="V175" s="195">
        <v>53.482037883881915</v>
      </c>
      <c r="W175" s="195">
        <v>53.626219140829768</v>
      </c>
      <c r="X175" s="195">
        <v>53.982983065242088</v>
      </c>
      <c r="Y175" s="195">
        <v>54.168329764779209</v>
      </c>
      <c r="Z175" s="195">
        <v>54.619124943722724</v>
      </c>
      <c r="AA175" s="195">
        <v>54.619124943722724</v>
      </c>
    </row>
    <row r="176" spans="1:27" x14ac:dyDescent="0.2">
      <c r="A176" s="186" t="s">
        <v>1307</v>
      </c>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8"/>
    </row>
    <row r="177" spans="1:27" x14ac:dyDescent="0.2">
      <c r="A177" s="207" t="s">
        <v>1308</v>
      </c>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1"/>
    </row>
    <row r="178" spans="1:27" x14ac:dyDescent="0.2">
      <c r="A178" s="213" t="s">
        <v>1309</v>
      </c>
      <c r="B178" s="193">
        <v>0.90922319100000004</v>
      </c>
      <c r="C178" s="193">
        <v>0.85551186600000007</v>
      </c>
      <c r="D178" s="193">
        <v>0.85603477499999991</v>
      </c>
      <c r="E178" s="193">
        <v>0.8944093620000001</v>
      </c>
      <c r="F178" s="193">
        <v>0.96334860600000016</v>
      </c>
      <c r="G178" s="193">
        <v>0.96464287800000004</v>
      </c>
      <c r="H178" s="193">
        <v>0.93909737700000007</v>
      </c>
      <c r="I178" s="193">
        <v>1.0292736600000001</v>
      </c>
      <c r="J178" s="193">
        <v>0.98208280800000003</v>
      </c>
      <c r="K178" s="193">
        <v>0.96772544100000002</v>
      </c>
      <c r="L178" s="193">
        <v>1.009691055</v>
      </c>
      <c r="M178" s="193">
        <v>1.0584689310000002</v>
      </c>
      <c r="N178" s="193">
        <v>1.091680875</v>
      </c>
      <c r="O178" s="193">
        <v>1.0638097290000001</v>
      </c>
      <c r="P178" s="193">
        <v>1.1153706749999999</v>
      </c>
      <c r="Q178" s="193">
        <v>1.1195452800000001</v>
      </c>
      <c r="R178" s="193">
        <v>1.141397676</v>
      </c>
      <c r="S178" s="193">
        <v>1.156655448</v>
      </c>
      <c r="T178" s="193">
        <v>1.1629014660000001</v>
      </c>
      <c r="U178" s="193">
        <v>1.1730765240000001</v>
      </c>
      <c r="V178" s="193">
        <v>1.1827739340000001</v>
      </c>
      <c r="W178" s="193">
        <v>1.191557457</v>
      </c>
      <c r="X178" s="193">
        <v>1.1997217709999999</v>
      </c>
      <c r="Y178" s="193">
        <v>1.207158057</v>
      </c>
      <c r="Z178" s="193">
        <v>1.2179061</v>
      </c>
      <c r="AA178" s="193">
        <v>1.2278018879999999</v>
      </c>
    </row>
    <row r="179" spans="1:27" x14ac:dyDescent="0.2">
      <c r="A179" s="206" t="s">
        <v>1310</v>
      </c>
      <c r="B179" s="195">
        <v>3.0390242497950677</v>
      </c>
      <c r="C179" s="195">
        <v>3.0658945536376367</v>
      </c>
      <c r="D179" s="195">
        <v>3.0182535606602046</v>
      </c>
      <c r="E179" s="195">
        <v>3.1687169462905906</v>
      </c>
      <c r="F179" s="195">
        <v>3.4165984662308864</v>
      </c>
      <c r="G179" s="195">
        <v>3.3405658400999645</v>
      </c>
      <c r="H179" s="195">
        <v>3.329713527156573</v>
      </c>
      <c r="I179" s="195">
        <v>3.4073478118956269</v>
      </c>
      <c r="J179" s="195">
        <v>3.5718598008431992</v>
      </c>
      <c r="K179" s="195">
        <v>3.4668348624822269</v>
      </c>
      <c r="L179" s="195">
        <v>3.5127589286033176</v>
      </c>
      <c r="M179" s="195">
        <v>3.611492439202677</v>
      </c>
      <c r="N179" s="195">
        <v>3.7322836623658628</v>
      </c>
      <c r="O179" s="195">
        <v>3.6790504460843225</v>
      </c>
      <c r="P179" s="195">
        <v>3.7831698630278283</v>
      </c>
      <c r="Q179" s="195">
        <v>3.8550782606762484</v>
      </c>
      <c r="R179" s="195">
        <v>3.9731906224800002</v>
      </c>
      <c r="S179" s="195">
        <v>3.9795890641199994</v>
      </c>
      <c r="T179" s="195">
        <v>4.07675422332</v>
      </c>
      <c r="U179" s="195">
        <v>4.0993422742799996</v>
      </c>
      <c r="V179" s="195">
        <v>4.13014005432</v>
      </c>
      <c r="W179" s="195">
        <v>4.1669531945999996</v>
      </c>
      <c r="X179" s="195">
        <v>4.1996899558799994</v>
      </c>
      <c r="Y179" s="195">
        <v>4.2229282629599991</v>
      </c>
      <c r="Z179" s="195">
        <v>4.2613503451199994</v>
      </c>
      <c r="AA179" s="195">
        <v>4.3039195289999999</v>
      </c>
    </row>
    <row r="180" spans="1:27" x14ac:dyDescent="0.2">
      <c r="A180" s="207" t="s">
        <v>1224</v>
      </c>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1"/>
    </row>
    <row r="181" spans="1:27" x14ac:dyDescent="0.2">
      <c r="A181" s="213" t="s">
        <v>1311</v>
      </c>
      <c r="B181" s="193">
        <v>47.373025070334876</v>
      </c>
      <c r="C181" s="193">
        <v>47.791885689057288</v>
      </c>
      <c r="D181" s="193">
        <v>47.049246680879662</v>
      </c>
      <c r="E181" s="193">
        <v>49.394705339235692</v>
      </c>
      <c r="F181" s="193">
        <v>53.258740797128539</v>
      </c>
      <c r="G181" s="193">
        <v>52.073526330970047</v>
      </c>
      <c r="H181" s="193">
        <v>51.904357923323047</v>
      </c>
      <c r="I181" s="193">
        <v>53.114539420725954</v>
      </c>
      <c r="J181" s="193">
        <v>55.678991013144</v>
      </c>
      <c r="K181" s="193">
        <v>54.041837562222952</v>
      </c>
      <c r="L181" s="193">
        <v>54.757712710581131</v>
      </c>
      <c r="M181" s="193">
        <v>56.296793905218195</v>
      </c>
      <c r="N181" s="193">
        <v>58.179715913350215</v>
      </c>
      <c r="O181" s="193">
        <v>57.349904012490924</v>
      </c>
      <c r="P181" s="193">
        <v>58.972941982492621</v>
      </c>
      <c r="Q181" s="193">
        <v>60.093867004659174</v>
      </c>
      <c r="R181" s="193">
        <v>61.9350302916</v>
      </c>
      <c r="S181" s="193">
        <v>62.0347707054</v>
      </c>
      <c r="T181" s="193">
        <v>63.549404069399998</v>
      </c>
      <c r="U181" s="193">
        <v>63.901511922600001</v>
      </c>
      <c r="V181" s="193">
        <v>64.381594964399994</v>
      </c>
      <c r="W181" s="193">
        <v>64.955446856999998</v>
      </c>
      <c r="X181" s="193">
        <v>65.465755194599993</v>
      </c>
      <c r="Y181" s="193">
        <v>65.827999393200002</v>
      </c>
      <c r="Z181" s="193">
        <v>66.426931850399995</v>
      </c>
      <c r="AA181" s="193">
        <v>67.090510305000009</v>
      </c>
    </row>
    <row r="182" spans="1:27" x14ac:dyDescent="0.2">
      <c r="B182" s="242"/>
      <c r="C182" s="242"/>
      <c r="D182" s="242"/>
      <c r="E182" s="242"/>
      <c r="F182" s="242"/>
      <c r="G182" s="242"/>
      <c r="H182" s="242"/>
      <c r="I182" s="242"/>
      <c r="J182" s="242"/>
      <c r="K182" s="242"/>
      <c r="L182" s="242"/>
      <c r="M182" s="242"/>
      <c r="N182" s="242"/>
      <c r="O182" s="242"/>
      <c r="P182" s="242"/>
      <c r="Q182" s="242"/>
      <c r="R182" s="242"/>
      <c r="S182" s="242"/>
      <c r="T182" s="242"/>
      <c r="U182" s="242"/>
      <c r="V182" s="242"/>
      <c r="W182" s="242"/>
      <c r="X182" s="242"/>
      <c r="Y182" s="242"/>
      <c r="Z182" s="242"/>
      <c r="AA182" s="242"/>
    </row>
    <row r="183" spans="1:27" x14ac:dyDescent="0.2">
      <c r="B183" s="242"/>
      <c r="C183" s="242"/>
      <c r="D183" s="242"/>
      <c r="E183" s="242"/>
      <c r="F183" s="242"/>
      <c r="G183" s="242"/>
      <c r="H183" s="242"/>
      <c r="I183" s="242"/>
      <c r="J183" s="242"/>
      <c r="K183" s="242"/>
      <c r="L183" s="242"/>
      <c r="M183" s="242"/>
      <c r="N183" s="242"/>
      <c r="O183" s="242"/>
      <c r="P183" s="242"/>
      <c r="Q183" s="242"/>
      <c r="R183" s="242"/>
      <c r="S183" s="242"/>
      <c r="T183" s="242"/>
      <c r="U183" s="242"/>
      <c r="V183" s="242"/>
      <c r="W183" s="242"/>
      <c r="X183" s="242"/>
      <c r="Y183" s="242"/>
      <c r="Z183" s="242"/>
      <c r="AA183" s="242"/>
    </row>
    <row r="184" spans="1:27" x14ac:dyDescent="0.2">
      <c r="A184" s="178"/>
      <c r="B184" s="242"/>
      <c r="C184" s="242"/>
      <c r="D184" s="242"/>
      <c r="E184" s="242"/>
      <c r="F184" s="242"/>
      <c r="G184" s="242"/>
      <c r="H184" s="242"/>
      <c r="I184" s="242"/>
      <c r="J184" s="242"/>
      <c r="K184" s="242"/>
      <c r="L184" s="242"/>
      <c r="M184" s="242"/>
      <c r="N184" s="242"/>
      <c r="O184" s="242"/>
      <c r="P184" s="242"/>
      <c r="Q184" s="242"/>
      <c r="R184" s="242"/>
      <c r="S184" s="242"/>
      <c r="T184" s="242"/>
      <c r="U184" s="242"/>
      <c r="V184" s="242"/>
      <c r="W184" s="242"/>
      <c r="X184" s="242"/>
      <c r="Y184" s="242"/>
      <c r="Z184" s="242"/>
      <c r="AA184" s="242"/>
    </row>
    <row r="185" spans="1:27" x14ac:dyDescent="0.2">
      <c r="B185" s="242"/>
      <c r="C185" s="242"/>
      <c r="D185" s="242"/>
      <c r="E185" s="242"/>
      <c r="F185" s="242"/>
      <c r="G185" s="242"/>
      <c r="H185" s="242"/>
      <c r="I185" s="242"/>
      <c r="J185" s="242"/>
      <c r="K185" s="242"/>
      <c r="L185" s="242"/>
      <c r="M185" s="242"/>
      <c r="N185" s="242"/>
      <c r="O185" s="242"/>
      <c r="P185" s="242"/>
      <c r="Q185" s="242"/>
      <c r="R185" s="242"/>
      <c r="S185" s="242"/>
      <c r="T185" s="242"/>
      <c r="U185" s="242"/>
      <c r="V185" s="242"/>
      <c r="W185" s="242"/>
      <c r="X185" s="242"/>
      <c r="Y185" s="242"/>
      <c r="Z185" s="242"/>
      <c r="AA185" s="242"/>
    </row>
  </sheetData>
  <pageMargins left="0.7" right="0.7" top="0.75" bottom="0.75" header="0.3" footer="0.3"/>
  <pageSetup orientation="portrait" verticalDpi="597"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5" tint="0.79998168889431442"/>
  </sheetPr>
  <dimension ref="A1:AD171"/>
  <sheetViews>
    <sheetView workbookViewId="0">
      <pane xSplit="1" ySplit="6" topLeftCell="F115" activePane="bottomRight" state="frozen"/>
      <selection activeCell="E37" sqref="E37"/>
      <selection pane="topRight" activeCell="E37" sqref="E37"/>
      <selection pane="bottomLeft" activeCell="E37" sqref="E37"/>
      <selection pane="bottomRight" activeCell="E37" sqref="E37"/>
    </sheetView>
  </sheetViews>
  <sheetFormatPr defaultColWidth="9.140625" defaultRowHeight="12" x14ac:dyDescent="0.2"/>
  <cols>
    <col min="1" max="1" width="26.5703125" style="323" customWidth="1"/>
    <col min="2" max="2" width="15.5703125" style="323" customWidth="1"/>
    <col min="3" max="28" width="10" style="178" customWidth="1"/>
    <col min="29" max="16384" width="9.140625" style="178"/>
  </cols>
  <sheetData>
    <row r="1" spans="1:28" s="165" customFormat="1" ht="15.75" x14ac:dyDescent="0.25">
      <c r="A1" s="165" t="s">
        <v>1347</v>
      </c>
      <c r="B1" s="166"/>
      <c r="C1" s="166"/>
      <c r="D1" s="166"/>
      <c r="E1" s="166"/>
      <c r="F1" s="166"/>
      <c r="G1" s="166"/>
      <c r="H1" s="166"/>
      <c r="I1" s="166"/>
      <c r="J1" s="166"/>
      <c r="K1" s="166"/>
      <c r="L1" s="166"/>
      <c r="M1" s="166"/>
      <c r="N1" s="166"/>
      <c r="O1" s="166"/>
      <c r="P1" s="166"/>
      <c r="Q1" s="166"/>
      <c r="R1" s="166"/>
      <c r="S1" s="166"/>
      <c r="T1" s="166"/>
      <c r="U1" s="166"/>
      <c r="V1" s="166"/>
      <c r="W1" s="166"/>
      <c r="X1" s="166"/>
    </row>
    <row r="2" spans="1:28" s="227" customFormat="1" x14ac:dyDescent="0.2">
      <c r="A2" s="211"/>
      <c r="B2" s="255"/>
    </row>
    <row r="3" spans="1:28" s="227" customFormat="1" ht="12.75" x14ac:dyDescent="0.2">
      <c r="A3" s="170" t="s">
        <v>1165</v>
      </c>
      <c r="B3" s="255"/>
    </row>
    <row r="4" spans="1:28" s="211" customFormat="1" x14ac:dyDescent="0.2">
      <c r="A4" s="171" t="s">
        <v>1166</v>
      </c>
      <c r="B4" s="256"/>
    </row>
    <row r="5" spans="1:28" s="211" customFormat="1" x14ac:dyDescent="0.2">
      <c r="A5" s="171"/>
      <c r="B5" s="256"/>
    </row>
    <row r="6" spans="1:28" s="260" customFormat="1" x14ac:dyDescent="0.2">
      <c r="A6" s="172" t="s">
        <v>1168</v>
      </c>
      <c r="B6" s="257" t="s">
        <v>1348</v>
      </c>
      <c r="C6" s="258">
        <v>1990</v>
      </c>
      <c r="D6" s="258">
        <v>1991</v>
      </c>
      <c r="E6" s="258">
        <v>1992</v>
      </c>
      <c r="F6" s="258">
        <v>1993</v>
      </c>
      <c r="G6" s="258">
        <v>1994</v>
      </c>
      <c r="H6" s="258">
        <v>1995</v>
      </c>
      <c r="I6" s="258">
        <v>1996</v>
      </c>
      <c r="J6" s="258">
        <v>1997</v>
      </c>
      <c r="K6" s="258">
        <v>1998</v>
      </c>
      <c r="L6" s="258">
        <v>1999</v>
      </c>
      <c r="M6" s="258">
        <v>2000</v>
      </c>
      <c r="N6" s="258">
        <v>2001</v>
      </c>
      <c r="O6" s="258">
        <v>2002</v>
      </c>
      <c r="P6" s="259">
        <v>2003</v>
      </c>
      <c r="Q6" s="259">
        <v>2004</v>
      </c>
      <c r="R6" s="259">
        <v>2005</v>
      </c>
      <c r="S6" s="259">
        <v>2006</v>
      </c>
      <c r="T6" s="259">
        <v>2007</v>
      </c>
      <c r="U6" s="259">
        <v>2008</v>
      </c>
      <c r="V6" s="259">
        <v>2009</v>
      </c>
      <c r="W6" s="259">
        <v>2010</v>
      </c>
      <c r="X6" s="259">
        <v>2011</v>
      </c>
      <c r="Y6" s="259">
        <v>2012</v>
      </c>
      <c r="Z6" s="259">
        <v>2013</v>
      </c>
      <c r="AA6" s="259">
        <v>2014</v>
      </c>
      <c r="AB6" s="259">
        <v>2015</v>
      </c>
    </row>
    <row r="7" spans="1:28" ht="12.75" x14ac:dyDescent="0.2">
      <c r="A7" s="175" t="s">
        <v>1169</v>
      </c>
      <c r="B7" s="261"/>
      <c r="C7" s="262"/>
      <c r="D7" s="262"/>
      <c r="E7" s="262"/>
      <c r="F7" s="262"/>
      <c r="G7" s="262"/>
      <c r="H7" s="262"/>
      <c r="I7" s="262"/>
      <c r="J7" s="262"/>
      <c r="K7" s="262"/>
      <c r="L7" s="262"/>
      <c r="M7" s="262"/>
      <c r="N7" s="262"/>
      <c r="O7" s="262"/>
      <c r="P7" s="262"/>
      <c r="Q7" s="262"/>
      <c r="R7" s="262"/>
      <c r="S7" s="262"/>
      <c r="T7" s="262"/>
      <c r="U7" s="262"/>
      <c r="V7" s="262"/>
      <c r="W7" s="262"/>
      <c r="X7" s="262"/>
      <c r="Y7" s="262"/>
      <c r="Z7" s="262"/>
      <c r="AA7" s="262"/>
      <c r="AB7" s="263"/>
    </row>
    <row r="8" spans="1:28" x14ac:dyDescent="0.2">
      <c r="A8" s="264" t="s">
        <v>1174</v>
      </c>
      <c r="B8" s="265"/>
      <c r="C8" s="266"/>
      <c r="D8" s="266"/>
      <c r="E8" s="266"/>
      <c r="F8" s="266"/>
      <c r="G8" s="266"/>
      <c r="H8" s="266"/>
      <c r="I8" s="266"/>
      <c r="J8" s="266"/>
      <c r="K8" s="266"/>
      <c r="L8" s="266"/>
      <c r="M8" s="266"/>
      <c r="N8" s="266"/>
      <c r="O8" s="266"/>
      <c r="P8" s="266"/>
      <c r="Q8" s="266"/>
      <c r="R8" s="266"/>
      <c r="S8" s="266"/>
      <c r="T8" s="266"/>
      <c r="U8" s="266"/>
      <c r="V8" s="266"/>
      <c r="W8" s="266"/>
      <c r="X8" s="266"/>
      <c r="Y8" s="266"/>
      <c r="Z8" s="266"/>
      <c r="AA8" s="266"/>
      <c r="AB8" s="267"/>
    </row>
    <row r="9" spans="1:28" x14ac:dyDescent="0.2">
      <c r="A9" s="268" t="s">
        <v>1349</v>
      </c>
      <c r="B9" s="268" t="s">
        <v>1350</v>
      </c>
      <c r="C9" s="269">
        <v>202628</v>
      </c>
      <c r="D9" s="269">
        <v>224224</v>
      </c>
      <c r="E9" s="269">
        <v>221428</v>
      </c>
      <c r="F9" s="269">
        <v>227636</v>
      </c>
      <c r="G9" s="269">
        <v>234780</v>
      </c>
      <c r="H9" s="269">
        <v>236844</v>
      </c>
      <c r="I9" s="269">
        <v>248609</v>
      </c>
      <c r="J9" s="269">
        <v>253629</v>
      </c>
      <c r="K9" s="269">
        <v>263740</v>
      </c>
      <c r="L9" s="269">
        <v>268926</v>
      </c>
      <c r="M9" s="269">
        <v>274433</v>
      </c>
      <c r="N9" s="269">
        <v>299848</v>
      </c>
      <c r="O9" s="269">
        <v>308191</v>
      </c>
      <c r="P9" s="269">
        <v>324189</v>
      </c>
      <c r="Q9" s="269">
        <v>338266</v>
      </c>
      <c r="R9" s="269">
        <v>355234</v>
      </c>
      <c r="S9" s="269">
        <v>377874</v>
      </c>
      <c r="T9" s="269">
        <v>391831</v>
      </c>
      <c r="U9" s="269">
        <v>420495</v>
      </c>
      <c r="V9" s="269">
        <v>426905</v>
      </c>
      <c r="W9" s="269">
        <v>434654</v>
      </c>
      <c r="X9" s="269">
        <v>440371</v>
      </c>
      <c r="Y9" s="269">
        <v>438672</v>
      </c>
      <c r="Z9" s="269">
        <v>431926</v>
      </c>
      <c r="AA9" s="269">
        <v>433941</v>
      </c>
      <c r="AB9" s="269">
        <v>421893</v>
      </c>
    </row>
    <row r="10" spans="1:28" ht="24" x14ac:dyDescent="0.2">
      <c r="A10" s="270" t="s">
        <v>1175</v>
      </c>
      <c r="B10" s="270" t="s">
        <v>1350</v>
      </c>
      <c r="C10" s="271">
        <v>140930</v>
      </c>
      <c r="D10" s="271">
        <v>146354</v>
      </c>
      <c r="E10" s="271">
        <v>145226</v>
      </c>
      <c r="F10" s="271">
        <v>145867</v>
      </c>
      <c r="G10" s="271">
        <v>147367</v>
      </c>
      <c r="H10" s="271">
        <v>147210</v>
      </c>
      <c r="I10" s="271">
        <v>150343</v>
      </c>
      <c r="J10" s="271">
        <v>150453</v>
      </c>
      <c r="K10" s="271">
        <v>155596</v>
      </c>
      <c r="L10" s="271">
        <v>156457</v>
      </c>
      <c r="M10" s="271">
        <v>152966</v>
      </c>
      <c r="N10" s="271">
        <v>165198</v>
      </c>
      <c r="O10" s="271">
        <v>166337</v>
      </c>
      <c r="P10" s="271">
        <v>171410</v>
      </c>
      <c r="Q10" s="271">
        <v>176954</v>
      </c>
      <c r="R10" s="271">
        <v>177013</v>
      </c>
      <c r="S10" s="271">
        <v>183569</v>
      </c>
      <c r="T10" s="271">
        <v>185986</v>
      </c>
      <c r="U10" s="271">
        <v>194134</v>
      </c>
      <c r="V10" s="271">
        <v>193147</v>
      </c>
      <c r="W10" s="271">
        <v>192347</v>
      </c>
      <c r="X10" s="271">
        <v>192230</v>
      </c>
      <c r="Y10" s="271">
        <v>188651</v>
      </c>
      <c r="Z10" s="271">
        <v>184392</v>
      </c>
      <c r="AA10" s="271">
        <v>183025</v>
      </c>
      <c r="AB10" s="271">
        <v>179658</v>
      </c>
    </row>
    <row r="11" spans="1:28" ht="24" x14ac:dyDescent="0.2">
      <c r="A11" s="272" t="s">
        <v>1176</v>
      </c>
      <c r="B11" s="272" t="s">
        <v>1350</v>
      </c>
      <c r="C11" s="273">
        <v>61698</v>
      </c>
      <c r="D11" s="273">
        <v>77870</v>
      </c>
      <c r="E11" s="273">
        <v>76202</v>
      </c>
      <c r="F11" s="273">
        <v>81769</v>
      </c>
      <c r="G11" s="273">
        <v>87413</v>
      </c>
      <c r="H11" s="273">
        <v>89634</v>
      </c>
      <c r="I11" s="273">
        <v>98266</v>
      </c>
      <c r="J11" s="273">
        <v>103176</v>
      </c>
      <c r="K11" s="273">
        <v>108144</v>
      </c>
      <c r="L11" s="273">
        <v>112469</v>
      </c>
      <c r="M11" s="273">
        <v>121467</v>
      </c>
      <c r="N11" s="273">
        <v>134650</v>
      </c>
      <c r="O11" s="273">
        <v>141854</v>
      </c>
      <c r="P11" s="273">
        <v>152779</v>
      </c>
      <c r="Q11" s="273">
        <v>161312</v>
      </c>
      <c r="R11" s="273">
        <v>178221</v>
      </c>
      <c r="S11" s="273">
        <v>194305</v>
      </c>
      <c r="T11" s="273">
        <v>205845</v>
      </c>
      <c r="U11" s="273">
        <v>226361</v>
      </c>
      <c r="V11" s="273">
        <v>233758</v>
      </c>
      <c r="W11" s="273">
        <v>242307</v>
      </c>
      <c r="X11" s="273">
        <v>248141</v>
      </c>
      <c r="Y11" s="273">
        <v>250021</v>
      </c>
      <c r="Z11" s="273">
        <v>247534</v>
      </c>
      <c r="AA11" s="273">
        <v>250916</v>
      </c>
      <c r="AB11" s="273">
        <v>242235</v>
      </c>
    </row>
    <row r="12" spans="1:28" x14ac:dyDescent="0.2">
      <c r="A12" s="219" t="s">
        <v>1177</v>
      </c>
      <c r="B12" s="274"/>
      <c r="C12" s="275"/>
      <c r="D12" s="275"/>
      <c r="E12" s="275"/>
      <c r="F12" s="275"/>
      <c r="G12" s="275"/>
      <c r="H12" s="275"/>
      <c r="I12" s="275"/>
      <c r="J12" s="275"/>
      <c r="K12" s="275"/>
      <c r="L12" s="275"/>
      <c r="M12" s="275"/>
      <c r="N12" s="275"/>
      <c r="O12" s="275"/>
      <c r="P12" s="275"/>
      <c r="Q12" s="275"/>
      <c r="R12" s="275"/>
      <c r="S12" s="275"/>
      <c r="T12" s="275"/>
      <c r="U12" s="275"/>
      <c r="V12" s="275"/>
      <c r="W12" s="275"/>
      <c r="X12" s="275"/>
      <c r="Y12" s="275"/>
      <c r="Z12" s="275"/>
      <c r="AA12" s="275"/>
      <c r="AB12" s="276"/>
    </row>
    <row r="13" spans="1:28" x14ac:dyDescent="0.2">
      <c r="A13" s="268" t="s">
        <v>1178</v>
      </c>
      <c r="B13" s="268" t="s">
        <v>1351</v>
      </c>
      <c r="C13" s="269">
        <v>48572.908000000003</v>
      </c>
      <c r="D13" s="269">
        <v>49455.762999999999</v>
      </c>
      <c r="E13" s="269">
        <v>49670.604000000007</v>
      </c>
      <c r="F13" s="269">
        <v>51993.263932821021</v>
      </c>
      <c r="G13" s="269">
        <v>53947.695855553764</v>
      </c>
      <c r="H13" s="269">
        <v>53954.915138205964</v>
      </c>
      <c r="I13" s="269">
        <v>57757.501270314446</v>
      </c>
      <c r="J13" s="269">
        <v>58588.422079576238</v>
      </c>
      <c r="K13" s="269">
        <v>61373.416598037089</v>
      </c>
      <c r="L13" s="269">
        <v>61364.132665667457</v>
      </c>
      <c r="M13" s="269">
        <v>60926.460946233652</v>
      </c>
      <c r="N13" s="269">
        <v>67028.339983951708</v>
      </c>
      <c r="O13" s="269">
        <v>67914.642370336151</v>
      </c>
      <c r="P13" s="269">
        <v>71261.845734365066</v>
      </c>
      <c r="Q13" s="269">
        <v>72290.231137830226</v>
      </c>
      <c r="R13" s="269">
        <v>75388.732329446124</v>
      </c>
      <c r="S13" s="269">
        <v>79351.234317694601</v>
      </c>
      <c r="T13" s="269">
        <v>79734.222668486036</v>
      </c>
      <c r="U13" s="269">
        <v>85702.735056238831</v>
      </c>
      <c r="V13" s="269">
        <v>86546.708834411053</v>
      </c>
      <c r="W13" s="269">
        <v>89889.475134822205</v>
      </c>
      <c r="X13" s="269">
        <v>90901.279446410437</v>
      </c>
      <c r="Y13" s="269">
        <v>90550.572261379042</v>
      </c>
      <c r="Z13" s="269">
        <v>89158.06450962997</v>
      </c>
      <c r="AA13" s="269">
        <v>89574.000341200459</v>
      </c>
      <c r="AB13" s="269">
        <v>87087.054982013869</v>
      </c>
    </row>
    <row r="14" spans="1:28" x14ac:dyDescent="0.2">
      <c r="A14" s="270" t="s">
        <v>1179</v>
      </c>
      <c r="B14" s="270" t="s">
        <v>1352</v>
      </c>
      <c r="C14" s="271">
        <v>119215.545</v>
      </c>
      <c r="D14" s="271">
        <v>134084.19699999999</v>
      </c>
      <c r="E14" s="271">
        <v>131871.48499999999</v>
      </c>
      <c r="F14" s="271">
        <v>136189.52634560855</v>
      </c>
      <c r="G14" s="271">
        <v>141433.54340869741</v>
      </c>
      <c r="H14" s="271">
        <v>143438.96237594224</v>
      </c>
      <c r="I14" s="271">
        <v>151926.17073747111</v>
      </c>
      <c r="J14" s="271">
        <v>155719.24734985578</v>
      </c>
      <c r="K14" s="271">
        <v>163649.66670798423</v>
      </c>
      <c r="L14" s="271">
        <v>167928.51152241835</v>
      </c>
      <c r="M14" s="271">
        <v>172718.45713709251</v>
      </c>
      <c r="N14" s="271">
        <v>191550.34820034693</v>
      </c>
      <c r="O14" s="271">
        <v>198299.77184277828</v>
      </c>
      <c r="P14" s="271">
        <v>210482.0630485728</v>
      </c>
      <c r="Q14" s="271">
        <v>222398.44135103939</v>
      </c>
      <c r="R14" s="271">
        <v>235386.50042970272</v>
      </c>
      <c r="S14" s="271">
        <v>253014.6823572056</v>
      </c>
      <c r="T14" s="271">
        <v>264859.05385097477</v>
      </c>
      <c r="U14" s="271">
        <v>286844.40258006193</v>
      </c>
      <c r="V14" s="271">
        <v>292189.54157627746</v>
      </c>
      <c r="W14" s="271">
        <v>297312.09341735445</v>
      </c>
      <c r="X14" s="271">
        <v>301705.87272898608</v>
      </c>
      <c r="Y14" s="271">
        <v>300541.85811910819</v>
      </c>
      <c r="Z14" s="271">
        <v>295920.05555393081</v>
      </c>
      <c r="AA14" s="271">
        <v>297300.56728960114</v>
      </c>
      <c r="AB14" s="271">
        <v>289046.27181001962</v>
      </c>
    </row>
    <row r="15" spans="1:28" x14ac:dyDescent="0.2">
      <c r="A15" s="270" t="s">
        <v>1180</v>
      </c>
      <c r="B15" s="270" t="s">
        <v>1353</v>
      </c>
      <c r="C15" s="271">
        <v>28250.121534253849</v>
      </c>
      <c r="D15" s="271">
        <v>31261.006627398649</v>
      </c>
      <c r="E15" s="271">
        <v>30871.192091353423</v>
      </c>
      <c r="F15" s="271">
        <v>30424.758859623686</v>
      </c>
      <c r="G15" s="271">
        <v>29746.867785202463</v>
      </c>
      <c r="H15" s="271">
        <v>29550.775573768071</v>
      </c>
      <c r="I15" s="271">
        <v>28416.05484338235</v>
      </c>
      <c r="J15" s="271">
        <v>27958.763248462608</v>
      </c>
      <c r="K15" s="271">
        <v>26984.35254969513</v>
      </c>
      <c r="L15" s="271">
        <v>26495.25012116697</v>
      </c>
      <c r="M15" s="271">
        <v>26162.980059127342</v>
      </c>
      <c r="N15" s="271">
        <v>23997.94689311432</v>
      </c>
      <c r="O15" s="271">
        <v>23490.363327382034</v>
      </c>
      <c r="P15" s="271">
        <v>22146.179589890806</v>
      </c>
      <c r="Q15" s="271">
        <v>20830.284328879334</v>
      </c>
      <c r="R15" s="271">
        <v>19485.75822554174</v>
      </c>
      <c r="S15" s="271">
        <v>17495.556201890435</v>
      </c>
      <c r="T15" s="271">
        <v>16215.493045044364</v>
      </c>
      <c r="U15" s="271">
        <v>13507.088421852748</v>
      </c>
      <c r="V15" s="271">
        <v>12918.713356739583</v>
      </c>
      <c r="W15" s="271">
        <v>12260.959940484658</v>
      </c>
      <c r="X15" s="271">
        <v>11727.027770466339</v>
      </c>
      <c r="Y15" s="271">
        <v>11681.783600931964</v>
      </c>
      <c r="Z15" s="271">
        <v>11502.138416894944</v>
      </c>
      <c r="AA15" s="271">
        <v>11555.797629144367</v>
      </c>
      <c r="AB15" s="271">
        <v>11234.960810692248</v>
      </c>
    </row>
    <row r="16" spans="1:28" x14ac:dyDescent="0.2">
      <c r="A16" s="270" t="s">
        <v>1181</v>
      </c>
      <c r="B16" s="270" t="s">
        <v>1354</v>
      </c>
      <c r="C16" s="271">
        <v>182647.0333652831</v>
      </c>
      <c r="D16" s="271">
        <v>186130.48602537785</v>
      </c>
      <c r="E16" s="271">
        <v>186105.10972878413</v>
      </c>
      <c r="F16" s="271">
        <v>195364.31891960453</v>
      </c>
      <c r="G16" s="271">
        <v>203109.38179288458</v>
      </c>
      <c r="H16" s="271">
        <v>204179.58753033174</v>
      </c>
      <c r="I16" s="271">
        <v>219345.06878150164</v>
      </c>
      <c r="J16" s="271">
        <v>224290.97859967154</v>
      </c>
      <c r="K16" s="271">
        <v>233741.58212396177</v>
      </c>
      <c r="L16" s="271">
        <v>235427.55452264586</v>
      </c>
      <c r="M16" s="271">
        <v>236024.15420777234</v>
      </c>
      <c r="N16" s="271">
        <v>263586.58390093438</v>
      </c>
      <c r="O16" s="271">
        <v>268515.07395188988</v>
      </c>
      <c r="P16" s="271">
        <v>283637.7739243384</v>
      </c>
      <c r="Q16" s="271">
        <v>290226.98934120557</v>
      </c>
      <c r="R16" s="271">
        <v>305242.11492496531</v>
      </c>
      <c r="S16" s="271">
        <v>324483.89539417508</v>
      </c>
      <c r="T16" s="271">
        <v>329251.27398382855</v>
      </c>
      <c r="U16" s="271">
        <v>356582.55874786223</v>
      </c>
      <c r="V16" s="271">
        <v>360568.49450765445</v>
      </c>
      <c r="W16" s="271">
        <v>372471.95445508225</v>
      </c>
      <c r="X16" s="271">
        <v>377597.41522793821</v>
      </c>
      <c r="Y16" s="271">
        <v>376140.60265746404</v>
      </c>
      <c r="Z16" s="271">
        <v>370356.2250233154</v>
      </c>
      <c r="AA16" s="271">
        <v>372083.99272755638</v>
      </c>
      <c r="AB16" s="271">
        <v>361753.39952621883</v>
      </c>
    </row>
    <row r="17" spans="1:28" x14ac:dyDescent="0.2">
      <c r="A17" s="272" t="s">
        <v>1182</v>
      </c>
      <c r="B17" s="272" t="s">
        <v>1355</v>
      </c>
      <c r="C17" s="273">
        <v>17574.572</v>
      </c>
      <c r="D17" s="273">
        <v>17808.904999999999</v>
      </c>
      <c r="E17" s="273">
        <v>17749.766</v>
      </c>
      <c r="F17" s="273">
        <v>18932.053818860899</v>
      </c>
      <c r="G17" s="273">
        <v>19616.242600246835</v>
      </c>
      <c r="H17" s="273">
        <v>19837.904261810247</v>
      </c>
      <c r="I17" s="273">
        <v>21349.599409447179</v>
      </c>
      <c r="J17" s="273">
        <v>21434.904078462263</v>
      </c>
      <c r="K17" s="273">
        <v>23104.658113079007</v>
      </c>
      <c r="L17" s="273">
        <v>22670.79795089586</v>
      </c>
      <c r="M17" s="273">
        <v>22432.382741247275</v>
      </c>
      <c r="N17" s="273">
        <v>24630.595720765763</v>
      </c>
      <c r="O17" s="273">
        <v>25256.742654114678</v>
      </c>
      <c r="P17" s="273">
        <v>26649.657548153576</v>
      </c>
      <c r="Q17" s="273">
        <v>27216.696722490793</v>
      </c>
      <c r="R17" s="273">
        <v>28423.04437351623</v>
      </c>
      <c r="S17" s="273">
        <v>29889.480392022902</v>
      </c>
      <c r="T17" s="273">
        <v>29911.892927207369</v>
      </c>
      <c r="U17" s="273">
        <v>32052.166929899286</v>
      </c>
      <c r="V17" s="273">
        <v>32628.006812264764</v>
      </c>
      <c r="W17" s="273">
        <v>34178.257375712972</v>
      </c>
      <c r="X17" s="273">
        <v>34472.7393521091</v>
      </c>
      <c r="Y17" s="273">
        <v>34339.739712806717</v>
      </c>
      <c r="Z17" s="273">
        <v>33811.655212080441</v>
      </c>
      <c r="AA17" s="273">
        <v>33969.39168835726</v>
      </c>
      <c r="AB17" s="273">
        <v>33026.26063814231</v>
      </c>
    </row>
    <row r="18" spans="1:28" x14ac:dyDescent="0.2">
      <c r="A18" s="219" t="s">
        <v>1183</v>
      </c>
      <c r="B18" s="274"/>
      <c r="C18" s="275"/>
      <c r="D18" s="275"/>
      <c r="E18" s="275"/>
      <c r="F18" s="275"/>
      <c r="G18" s="275"/>
      <c r="H18" s="275"/>
      <c r="I18" s="275"/>
      <c r="J18" s="275"/>
      <c r="K18" s="275"/>
      <c r="L18" s="275"/>
      <c r="M18" s="275"/>
      <c r="N18" s="275"/>
      <c r="O18" s="275"/>
      <c r="P18" s="275"/>
      <c r="Q18" s="275"/>
      <c r="R18" s="275"/>
      <c r="S18" s="275"/>
      <c r="T18" s="275"/>
      <c r="U18" s="275"/>
      <c r="V18" s="275"/>
      <c r="W18" s="275"/>
      <c r="X18" s="275"/>
      <c r="Y18" s="275"/>
      <c r="Z18" s="275"/>
      <c r="AA18" s="275"/>
      <c r="AB18" s="276"/>
    </row>
    <row r="19" spans="1:28" ht="24" x14ac:dyDescent="0.2">
      <c r="A19" s="268" t="s">
        <v>1184</v>
      </c>
      <c r="B19" s="268" t="s">
        <v>1356</v>
      </c>
      <c r="C19" s="269">
        <v>2565</v>
      </c>
      <c r="D19" s="269">
        <v>2576</v>
      </c>
      <c r="E19" s="269">
        <v>2615</v>
      </c>
      <c r="F19" s="269">
        <v>2661</v>
      </c>
      <c r="G19" s="269">
        <v>2718</v>
      </c>
      <c r="H19" s="269">
        <v>2732</v>
      </c>
      <c r="I19" s="269">
        <v>2712</v>
      </c>
      <c r="J19" s="269">
        <v>2715</v>
      </c>
      <c r="K19" s="269">
        <v>2754</v>
      </c>
      <c r="L19" s="269">
        <v>3049</v>
      </c>
      <c r="M19" s="269">
        <v>2844</v>
      </c>
      <c r="N19" s="269">
        <v>2894</v>
      </c>
      <c r="O19" s="269">
        <v>2867</v>
      </c>
      <c r="P19" s="269">
        <v>2915</v>
      </c>
      <c r="Q19" s="269">
        <v>2912</v>
      </c>
      <c r="R19" s="269">
        <v>2968</v>
      </c>
      <c r="S19" s="269">
        <v>3122</v>
      </c>
      <c r="T19" s="269">
        <v>3299</v>
      </c>
      <c r="U19" s="269">
        <v>3568</v>
      </c>
      <c r="V19" s="269">
        <v>3656</v>
      </c>
      <c r="W19" s="269">
        <v>3838</v>
      </c>
      <c r="X19" s="269">
        <v>4246</v>
      </c>
      <c r="Y19" s="269">
        <v>4549</v>
      </c>
      <c r="Z19" s="269">
        <v>4638</v>
      </c>
      <c r="AA19" s="269">
        <v>5034</v>
      </c>
      <c r="AB19" s="269">
        <v>5276</v>
      </c>
    </row>
    <row r="20" spans="1:28" x14ac:dyDescent="0.2">
      <c r="A20" s="272" t="s">
        <v>1185</v>
      </c>
      <c r="B20" s="272" t="s">
        <v>1357</v>
      </c>
      <c r="C20" s="273">
        <v>241763</v>
      </c>
      <c r="D20" s="273">
        <v>251564</v>
      </c>
      <c r="E20" s="273">
        <v>250393</v>
      </c>
      <c r="F20" s="273">
        <v>253627</v>
      </c>
      <c r="G20" s="273">
        <v>258743</v>
      </c>
      <c r="H20" s="273">
        <v>260124</v>
      </c>
      <c r="I20" s="273">
        <v>266848</v>
      </c>
      <c r="J20" s="273">
        <v>270367</v>
      </c>
      <c r="K20" s="273">
        <v>278005</v>
      </c>
      <c r="L20" s="273">
        <v>283797</v>
      </c>
      <c r="M20" s="273">
        <v>290738</v>
      </c>
      <c r="N20" s="273">
        <v>308565</v>
      </c>
      <c r="O20" s="273">
        <v>317132</v>
      </c>
      <c r="P20" s="273">
        <v>329420</v>
      </c>
      <c r="Q20" s="273">
        <v>342782</v>
      </c>
      <c r="R20" s="273">
        <v>356633</v>
      </c>
      <c r="S20" s="273">
        <v>374756</v>
      </c>
      <c r="T20" s="273">
        <v>389133</v>
      </c>
      <c r="U20" s="273">
        <v>409885</v>
      </c>
      <c r="V20" s="273">
        <v>415431</v>
      </c>
      <c r="W20" s="273">
        <v>419330</v>
      </c>
      <c r="X20" s="273">
        <v>423560</v>
      </c>
      <c r="Y20" s="273">
        <v>421662</v>
      </c>
      <c r="Z20" s="273">
        <v>415483</v>
      </c>
      <c r="AA20" s="273">
        <v>414360</v>
      </c>
      <c r="AB20" s="273">
        <v>408465</v>
      </c>
    </row>
    <row r="21" spans="1:28" x14ac:dyDescent="0.2">
      <c r="A21" s="219" t="s">
        <v>1187</v>
      </c>
      <c r="B21" s="274"/>
      <c r="C21" s="275"/>
      <c r="D21" s="275"/>
      <c r="E21" s="275"/>
      <c r="F21" s="275"/>
      <c r="G21" s="275"/>
      <c r="H21" s="275"/>
      <c r="I21" s="275"/>
      <c r="J21" s="275"/>
      <c r="K21" s="275"/>
      <c r="L21" s="275"/>
      <c r="M21" s="275"/>
      <c r="N21" s="275"/>
      <c r="O21" s="275"/>
      <c r="P21" s="275"/>
      <c r="Q21" s="275"/>
      <c r="R21" s="275"/>
      <c r="S21" s="275"/>
      <c r="T21" s="275"/>
      <c r="U21" s="275"/>
      <c r="V21" s="275"/>
      <c r="W21" s="275"/>
      <c r="X21" s="275"/>
      <c r="Y21" s="275"/>
      <c r="Z21" s="275"/>
      <c r="AA21" s="275"/>
      <c r="AB21" s="276"/>
    </row>
    <row r="22" spans="1:28" ht="24" x14ac:dyDescent="0.2">
      <c r="A22" s="268" t="s">
        <v>1188</v>
      </c>
      <c r="B22" s="268" t="s">
        <v>1358</v>
      </c>
      <c r="C22" s="269">
        <v>366.03862203515359</v>
      </c>
      <c r="D22" s="269">
        <v>405.05085174413352</v>
      </c>
      <c r="E22" s="269">
        <v>399.99999999999994</v>
      </c>
      <c r="F22" s="269">
        <v>411.21448055349811</v>
      </c>
      <c r="G22" s="269">
        <v>424.11980418013985</v>
      </c>
      <c r="H22" s="269">
        <v>427.84832993117402</v>
      </c>
      <c r="I22" s="269">
        <v>449.10128800332387</v>
      </c>
      <c r="J22" s="269">
        <v>458.16969850244766</v>
      </c>
      <c r="K22" s="269">
        <v>476.43477789620113</v>
      </c>
      <c r="L22" s="269">
        <v>485.80306013692939</v>
      </c>
      <c r="M22" s="269">
        <v>495.75121484184479</v>
      </c>
      <c r="N22" s="269">
        <v>541.66230106400269</v>
      </c>
      <c r="O22" s="269">
        <v>556.7335657640408</v>
      </c>
      <c r="P22" s="269">
        <v>585.63325324710513</v>
      </c>
      <c r="Q22" s="269">
        <v>611.06273822642129</v>
      </c>
      <c r="R22" s="269">
        <v>641.71468829596972</v>
      </c>
      <c r="S22" s="269">
        <v>682.61285835576348</v>
      </c>
      <c r="T22" s="269">
        <v>707.82556858211262</v>
      </c>
      <c r="U22" s="269">
        <v>759.60583124085497</v>
      </c>
      <c r="V22" s="269">
        <v>771.18521596184758</v>
      </c>
      <c r="W22" s="269">
        <v>785.1834456346985</v>
      </c>
      <c r="X22" s="269">
        <v>795.51095615730617</v>
      </c>
      <c r="Y22" s="269">
        <v>792.44178694654693</v>
      </c>
      <c r="Z22" s="269">
        <v>780.25543291724625</v>
      </c>
      <c r="AA22" s="269">
        <v>783.89544231081891</v>
      </c>
      <c r="AB22" s="269">
        <v>762.13125711292162</v>
      </c>
    </row>
    <row r="23" spans="1:28" ht="24" x14ac:dyDescent="0.2">
      <c r="A23" s="270" t="s">
        <v>1189</v>
      </c>
      <c r="B23" s="270" t="s">
        <v>1359</v>
      </c>
      <c r="C23" s="271">
        <v>6130.4549999999999</v>
      </c>
      <c r="D23" s="271">
        <v>6366.3989999999994</v>
      </c>
      <c r="E23" s="271">
        <v>6317.3310000000001</v>
      </c>
      <c r="F23" s="271">
        <v>6345.2144999999991</v>
      </c>
      <c r="G23" s="271">
        <v>6410.4645</v>
      </c>
      <c r="H23" s="271">
        <v>6403.6349999999984</v>
      </c>
      <c r="I23" s="271">
        <v>6539.9205000000002</v>
      </c>
      <c r="J23" s="271">
        <v>6544.7054999999991</v>
      </c>
      <c r="K23" s="271">
        <v>6768.4259999999995</v>
      </c>
      <c r="L23" s="271">
        <v>6805.8795</v>
      </c>
      <c r="M23" s="271">
        <v>6654.0209999999997</v>
      </c>
      <c r="N23" s="271">
        <v>7186.1130000000003</v>
      </c>
      <c r="O23" s="271">
        <v>7235.6594999999998</v>
      </c>
      <c r="P23" s="271">
        <v>7456.3349999999991</v>
      </c>
      <c r="Q23" s="271">
        <v>7697.4990000000007</v>
      </c>
      <c r="R23" s="271">
        <v>7700.0655000000015</v>
      </c>
      <c r="S23" s="271">
        <v>7985.2514999999994</v>
      </c>
      <c r="T23" s="271">
        <v>8090.3909999999987</v>
      </c>
      <c r="U23" s="271">
        <v>8444.8289999999979</v>
      </c>
      <c r="V23" s="271">
        <v>8401.8945000000003</v>
      </c>
      <c r="W23" s="271">
        <v>8367.0944999999992</v>
      </c>
      <c r="X23" s="271">
        <v>8362.005000000001</v>
      </c>
      <c r="Y23" s="271">
        <v>8206.3184999999994</v>
      </c>
      <c r="Z23" s="271">
        <v>8021.0519999999988</v>
      </c>
      <c r="AA23" s="271">
        <v>7961.5874999999996</v>
      </c>
      <c r="AB23" s="271">
        <v>7815.1229999999996</v>
      </c>
    </row>
    <row r="24" spans="1:28" ht="36" x14ac:dyDescent="0.2">
      <c r="A24" s="270" t="s">
        <v>1190</v>
      </c>
      <c r="B24" s="270" t="s">
        <v>1360</v>
      </c>
      <c r="C24" s="271">
        <v>3763.7820000000002</v>
      </c>
      <c r="D24" s="271">
        <v>3749.1299999999997</v>
      </c>
      <c r="E24" s="271">
        <v>2942.1180000000004</v>
      </c>
      <c r="F24" s="271">
        <v>3647.4210000000003</v>
      </c>
      <c r="G24" s="271">
        <v>3673.9169999999995</v>
      </c>
      <c r="H24" s="271">
        <v>3409.5059999999994</v>
      </c>
      <c r="I24" s="271">
        <v>4287.2939999999999</v>
      </c>
      <c r="J24" s="271">
        <v>5734.5839999999998</v>
      </c>
      <c r="K24" s="271">
        <v>5210.4960000000001</v>
      </c>
      <c r="L24" s="271">
        <v>5108.1210000000001</v>
      </c>
      <c r="M24" s="271">
        <v>7240.2029999999995</v>
      </c>
      <c r="N24" s="271">
        <v>8544.2399078894668</v>
      </c>
      <c r="O24" s="271">
        <v>7229.7359024429315</v>
      </c>
      <c r="P24" s="271">
        <v>7996.7420090508604</v>
      </c>
      <c r="Q24" s="271">
        <v>8742.2575628354007</v>
      </c>
      <c r="R24" s="271">
        <v>9957.0536311573887</v>
      </c>
      <c r="S24" s="271">
        <v>10306.023655987185</v>
      </c>
      <c r="T24" s="271">
        <v>9711.3991898277927</v>
      </c>
      <c r="U24" s="271">
        <v>9686.2553637965557</v>
      </c>
      <c r="V24" s="271">
        <v>5689.4956954745703</v>
      </c>
      <c r="W24" s="271">
        <v>5186.0786411694035</v>
      </c>
      <c r="X24" s="271">
        <v>4577.350559520004</v>
      </c>
      <c r="Y24" s="271">
        <v>3274.2731195962297</v>
      </c>
      <c r="Z24" s="271">
        <v>2155.1973819985938</v>
      </c>
      <c r="AA24" s="271">
        <v>2057.1613946894267</v>
      </c>
      <c r="AB24" s="271">
        <v>139.18106015485409</v>
      </c>
    </row>
    <row r="25" spans="1:28" ht="24" x14ac:dyDescent="0.2">
      <c r="A25" s="270" t="s">
        <v>1191</v>
      </c>
      <c r="B25" s="270" t="s">
        <v>1360</v>
      </c>
      <c r="C25" s="271">
        <v>418.19799999999998</v>
      </c>
      <c r="D25" s="271">
        <v>416.57000000000005</v>
      </c>
      <c r="E25" s="271">
        <v>326.90200000000004</v>
      </c>
      <c r="F25" s="271">
        <v>405.26900000000001</v>
      </c>
      <c r="G25" s="271">
        <v>408.21299999999997</v>
      </c>
      <c r="H25" s="271">
        <v>378.834</v>
      </c>
      <c r="I25" s="271">
        <v>476.36600000000004</v>
      </c>
      <c r="J25" s="271">
        <v>637.17600000000004</v>
      </c>
      <c r="K25" s="271">
        <v>578.94400000000007</v>
      </c>
      <c r="L25" s="271">
        <v>567.56900000000007</v>
      </c>
      <c r="M25" s="271">
        <v>804.4670000000001</v>
      </c>
      <c r="N25" s="271">
        <v>997.25</v>
      </c>
      <c r="O25" s="271">
        <v>888.654</v>
      </c>
      <c r="P25" s="271">
        <v>1038.0790000000002</v>
      </c>
      <c r="Q25" s="271">
        <v>1202.3120000000001</v>
      </c>
      <c r="R25" s="271">
        <v>1455.9210000000003</v>
      </c>
      <c r="S25" s="271">
        <v>1608.605</v>
      </c>
      <c r="T25" s="271">
        <v>1625.4450000000002</v>
      </c>
      <c r="U25" s="271">
        <v>1747.6610000000001</v>
      </c>
      <c r="V25" s="271">
        <v>1113.3580000000002</v>
      </c>
      <c r="W25" s="271">
        <v>1108.607</v>
      </c>
      <c r="X25" s="271">
        <v>1374.0265329910089</v>
      </c>
      <c r="Y25" s="271">
        <v>743.27381364673897</v>
      </c>
      <c r="Z25" s="271">
        <v>695.33126544602942</v>
      </c>
      <c r="AA25" s="271">
        <v>559.15397483313677</v>
      </c>
      <c r="AB25" s="271">
        <v>341</v>
      </c>
    </row>
    <row r="26" spans="1:28" ht="36" x14ac:dyDescent="0.2">
      <c r="A26" s="270" t="s">
        <v>1192</v>
      </c>
      <c r="B26" s="270" t="s">
        <v>1360</v>
      </c>
      <c r="C26" s="271">
        <v>0</v>
      </c>
      <c r="D26" s="271">
        <v>0</v>
      </c>
      <c r="E26" s="271">
        <v>0</v>
      </c>
      <c r="F26" s="271">
        <v>0</v>
      </c>
      <c r="G26" s="271">
        <v>0</v>
      </c>
      <c r="H26" s="271">
        <v>0</v>
      </c>
      <c r="I26" s="271">
        <v>0</v>
      </c>
      <c r="J26" s="271">
        <v>0</v>
      </c>
      <c r="K26" s="271">
        <v>0</v>
      </c>
      <c r="L26" s="271">
        <v>0</v>
      </c>
      <c r="M26" s="271">
        <v>0</v>
      </c>
      <c r="N26" s="271">
        <v>315.11059988620138</v>
      </c>
      <c r="O26" s="271">
        <v>561.59297073205789</v>
      </c>
      <c r="P26" s="271">
        <v>984.0351860193573</v>
      </c>
      <c r="Q26" s="271">
        <v>1519.6239882491993</v>
      </c>
      <c r="R26" s="271">
        <v>2300.2062657153083</v>
      </c>
      <c r="S26" s="271">
        <v>3049.7176426970746</v>
      </c>
      <c r="T26" s="271">
        <v>3595.2515850831646</v>
      </c>
      <c r="U26" s="271">
        <v>4417.8010016161925</v>
      </c>
      <c r="V26" s="271">
        <v>3166.1851746431817</v>
      </c>
      <c r="W26" s="271">
        <v>3502.9713392633944</v>
      </c>
      <c r="X26" s="271">
        <v>3943.2667147454008</v>
      </c>
      <c r="Y26" s="271">
        <v>2749.2182517322399</v>
      </c>
      <c r="Z26" s="271">
        <v>3035.2341885349615</v>
      </c>
      <c r="AA26" s="271">
        <v>1803.0676902167845</v>
      </c>
      <c r="AB26" s="271">
        <v>3322.8189398451459</v>
      </c>
    </row>
    <row r="27" spans="1:28" ht="36" x14ac:dyDescent="0.2">
      <c r="A27" s="270" t="s">
        <v>1193</v>
      </c>
      <c r="B27" s="270" t="s">
        <v>1360</v>
      </c>
      <c r="C27" s="271">
        <v>0</v>
      </c>
      <c r="D27" s="271">
        <v>0</v>
      </c>
      <c r="E27" s="271">
        <v>0</v>
      </c>
      <c r="F27" s="271">
        <v>0</v>
      </c>
      <c r="G27" s="271">
        <v>0</v>
      </c>
      <c r="H27" s="271">
        <v>0</v>
      </c>
      <c r="I27" s="271">
        <v>0</v>
      </c>
      <c r="J27" s="271">
        <v>0</v>
      </c>
      <c r="K27" s="271">
        <v>0</v>
      </c>
      <c r="L27" s="271">
        <v>0</v>
      </c>
      <c r="M27" s="271">
        <v>0</v>
      </c>
      <c r="N27" s="271">
        <v>115.89949222433125</v>
      </c>
      <c r="O27" s="271">
        <v>206.5571268250105</v>
      </c>
      <c r="P27" s="271">
        <v>361.93380492978167</v>
      </c>
      <c r="Q27" s="271">
        <v>558.92644891539805</v>
      </c>
      <c r="R27" s="271">
        <v>846.02910312730296</v>
      </c>
      <c r="S27" s="271">
        <v>1121.7037013157408</v>
      </c>
      <c r="T27" s="271">
        <v>1322.3542250890418</v>
      </c>
      <c r="U27" s="271">
        <v>1624.8926345872508</v>
      </c>
      <c r="V27" s="271">
        <v>1164.5411298822494</v>
      </c>
      <c r="W27" s="271">
        <v>1288.4130195672019</v>
      </c>
      <c r="X27" s="271">
        <v>1450.3561927435869</v>
      </c>
      <c r="Y27" s="271">
        <v>2074.2348150247922</v>
      </c>
      <c r="Z27" s="271">
        <v>2188.237164020416</v>
      </c>
      <c r="AA27" s="271">
        <v>3223.6169402606515</v>
      </c>
      <c r="AB27" s="271">
        <v>1847</v>
      </c>
    </row>
    <row r="28" spans="1:28" x14ac:dyDescent="0.2">
      <c r="A28" s="272" t="s">
        <v>1194</v>
      </c>
      <c r="B28" s="272" t="s">
        <v>1350</v>
      </c>
      <c r="C28" s="273">
        <v>15095.999999999998</v>
      </c>
      <c r="D28" s="273">
        <v>13066</v>
      </c>
      <c r="E28" s="273">
        <v>10887</v>
      </c>
      <c r="F28" s="273">
        <v>13047</v>
      </c>
      <c r="G28" s="273">
        <v>12232</v>
      </c>
      <c r="H28" s="273">
        <v>10465</v>
      </c>
      <c r="I28" s="273">
        <v>11498</v>
      </c>
      <c r="J28" s="273">
        <v>14472.999999999996</v>
      </c>
      <c r="K28" s="273">
        <v>14507</v>
      </c>
      <c r="L28" s="273">
        <v>14564</v>
      </c>
      <c r="M28" s="273">
        <v>19862.878843323655</v>
      </c>
      <c r="N28" s="273">
        <v>25350.000000000004</v>
      </c>
      <c r="O28" s="273">
        <v>20041.000000000004</v>
      </c>
      <c r="P28" s="273">
        <v>23582</v>
      </c>
      <c r="Q28" s="273">
        <v>27180</v>
      </c>
      <c r="R28" s="273">
        <v>31969</v>
      </c>
      <c r="S28" s="273">
        <v>36536</v>
      </c>
      <c r="T28" s="273">
        <v>36255</v>
      </c>
      <c r="U28" s="273">
        <v>35824</v>
      </c>
      <c r="V28" s="273">
        <v>20266</v>
      </c>
      <c r="W28" s="273">
        <v>18837</v>
      </c>
      <c r="X28" s="273">
        <v>18837.475916052885</v>
      </c>
      <c r="Y28" s="273">
        <v>18837.475916052885</v>
      </c>
      <c r="Z28" s="273">
        <v>18837.475916052885</v>
      </c>
      <c r="AA28" s="273">
        <v>18837.475916052885</v>
      </c>
      <c r="AB28" s="273">
        <v>18837.475916052885</v>
      </c>
    </row>
    <row r="29" spans="1:28" x14ac:dyDescent="0.2">
      <c r="A29" s="219" t="s">
        <v>1195</v>
      </c>
      <c r="B29" s="274"/>
      <c r="C29" s="275"/>
      <c r="D29" s="275"/>
      <c r="E29" s="275"/>
      <c r="F29" s="275"/>
      <c r="G29" s="275"/>
      <c r="H29" s="275"/>
      <c r="I29" s="275"/>
      <c r="J29" s="275"/>
      <c r="K29" s="275"/>
      <c r="L29" s="275"/>
      <c r="M29" s="275"/>
      <c r="N29" s="275"/>
      <c r="O29" s="275"/>
      <c r="P29" s="275"/>
      <c r="Q29" s="275"/>
      <c r="R29" s="275"/>
      <c r="S29" s="275"/>
      <c r="T29" s="275"/>
      <c r="U29" s="275"/>
      <c r="V29" s="275"/>
      <c r="W29" s="275"/>
      <c r="X29" s="275"/>
      <c r="Y29" s="275"/>
      <c r="Z29" s="275"/>
      <c r="AA29" s="275"/>
      <c r="AB29" s="276"/>
    </row>
    <row r="30" spans="1:28" x14ac:dyDescent="0.2">
      <c r="A30" s="268" t="s">
        <v>1361</v>
      </c>
      <c r="B30" s="268" t="s">
        <v>1350</v>
      </c>
      <c r="C30" s="269">
        <v>1300</v>
      </c>
      <c r="D30" s="269">
        <v>1703.7777777777778</v>
      </c>
      <c r="E30" s="269">
        <v>2229.9444444444443</v>
      </c>
      <c r="F30" s="269">
        <v>2580.7222222222222</v>
      </c>
      <c r="G30" s="269">
        <v>2706</v>
      </c>
      <c r="H30" s="269">
        <v>2731.0555555555557</v>
      </c>
      <c r="I30" s="269">
        <v>2768.3333333333335</v>
      </c>
      <c r="J30" s="269">
        <v>2773.6666666666665</v>
      </c>
      <c r="K30" s="269">
        <v>2837.6666666666665</v>
      </c>
      <c r="L30" s="269">
        <v>2872.5</v>
      </c>
      <c r="M30" s="269">
        <v>2927.5833333333335</v>
      </c>
      <c r="N30" s="269">
        <v>3143.1666666666665</v>
      </c>
      <c r="O30" s="269">
        <v>3357.1666666666665</v>
      </c>
      <c r="P30" s="269">
        <v>3669.0833333333335</v>
      </c>
      <c r="Q30" s="269">
        <v>3963</v>
      </c>
      <c r="R30" s="269">
        <v>4246.166666666667</v>
      </c>
      <c r="S30" s="269">
        <v>4492.916666666667</v>
      </c>
      <c r="T30" s="269">
        <v>4763.916666666667</v>
      </c>
      <c r="U30" s="269">
        <v>5026.1000000000004</v>
      </c>
      <c r="V30" s="269">
        <v>5191.166666666667</v>
      </c>
      <c r="W30" s="269">
        <v>5295.666666666667</v>
      </c>
      <c r="X30" s="269">
        <v>5461.75</v>
      </c>
      <c r="Y30" s="269">
        <v>5517.181818181818</v>
      </c>
      <c r="Z30" s="269">
        <v>5479.75</v>
      </c>
      <c r="AA30" s="269">
        <v>5479.75</v>
      </c>
      <c r="AB30" s="269">
        <v>5479.75</v>
      </c>
    </row>
    <row r="31" spans="1:28" s="277" customFormat="1" ht="24" x14ac:dyDescent="0.2">
      <c r="A31" s="272" t="s">
        <v>1362</v>
      </c>
      <c r="B31" s="272" t="s">
        <v>1363</v>
      </c>
      <c r="C31" s="273">
        <v>24833340</v>
      </c>
      <c r="D31" s="273">
        <v>76253310</v>
      </c>
      <c r="E31" s="273">
        <v>253637580</v>
      </c>
      <c r="F31" s="273">
        <v>258413526</v>
      </c>
      <c r="G31" s="273">
        <v>395441592</v>
      </c>
      <c r="H31" s="273">
        <v>731194212</v>
      </c>
      <c r="I31" s="273">
        <v>850452960</v>
      </c>
      <c r="J31" s="273">
        <v>1895693394</v>
      </c>
      <c r="K31" s="273">
        <v>3032900388</v>
      </c>
      <c r="L31" s="273">
        <v>6429856860</v>
      </c>
      <c r="M31" s="273">
        <v>15783545946</v>
      </c>
      <c r="N31" s="273">
        <v>21506423610</v>
      </c>
      <c r="O31" s="273">
        <v>24318956382</v>
      </c>
      <c r="P31" s="273">
        <v>23791158888</v>
      </c>
      <c r="Q31" s="273">
        <v>22599925656</v>
      </c>
      <c r="R31" s="273">
        <v>23421598326</v>
      </c>
      <c r="S31" s="273">
        <v>28423070466</v>
      </c>
      <c r="T31" s="273">
        <v>27554638356</v>
      </c>
      <c r="U31" s="273">
        <v>28802976384</v>
      </c>
      <c r="V31" s="273">
        <v>23883321966</v>
      </c>
      <c r="W31" s="273">
        <v>22368432828</v>
      </c>
      <c r="X31" s="273">
        <v>20596530150</v>
      </c>
      <c r="Y31" s="273">
        <v>20596530150</v>
      </c>
      <c r="Z31" s="273">
        <v>20596530150</v>
      </c>
      <c r="AA31" s="273">
        <v>20596530150</v>
      </c>
      <c r="AB31" s="273">
        <v>20596530150</v>
      </c>
    </row>
    <row r="32" spans="1:28" x14ac:dyDescent="0.2">
      <c r="A32" s="219" t="s">
        <v>1198</v>
      </c>
      <c r="B32" s="274"/>
      <c r="C32" s="275"/>
      <c r="D32" s="275"/>
      <c r="E32" s="275"/>
      <c r="F32" s="275"/>
      <c r="G32" s="275"/>
      <c r="H32" s="275"/>
      <c r="I32" s="275"/>
      <c r="J32" s="275"/>
      <c r="K32" s="275"/>
      <c r="L32" s="275"/>
      <c r="M32" s="275"/>
      <c r="N32" s="275"/>
      <c r="O32" s="275"/>
      <c r="P32" s="275"/>
      <c r="Q32" s="275"/>
      <c r="R32" s="275"/>
      <c r="S32" s="275"/>
      <c r="T32" s="275"/>
      <c r="U32" s="275"/>
      <c r="V32" s="275"/>
      <c r="W32" s="275"/>
      <c r="X32" s="275"/>
      <c r="Y32" s="275"/>
      <c r="Z32" s="275"/>
      <c r="AA32" s="275"/>
      <c r="AB32" s="276"/>
    </row>
    <row r="33" spans="1:28" x14ac:dyDescent="0.2">
      <c r="A33" s="268" t="s">
        <v>1199</v>
      </c>
      <c r="B33" s="268" t="s">
        <v>1364</v>
      </c>
      <c r="C33" s="269">
        <v>207250.45399999997</v>
      </c>
      <c r="D33" s="269">
        <v>219631.79800000001</v>
      </c>
      <c r="E33" s="269">
        <v>219159.46400000001</v>
      </c>
      <c r="F33" s="269">
        <v>237888.82826279258</v>
      </c>
      <c r="G33" s="269">
        <v>259233.42555814903</v>
      </c>
      <c r="H33" s="269">
        <v>263941.90434319701</v>
      </c>
      <c r="I33" s="269">
        <v>300524.08635298978</v>
      </c>
      <c r="J33" s="269">
        <v>315077.54792474676</v>
      </c>
      <c r="K33" s="269">
        <v>343976.0072286998</v>
      </c>
      <c r="L33" s="269">
        <v>356806.86708954972</v>
      </c>
      <c r="M33" s="269">
        <v>367974.59866295161</v>
      </c>
      <c r="N33" s="269">
        <v>441632.37791560555</v>
      </c>
      <c r="O33" s="269">
        <v>461174.55917369161</v>
      </c>
      <c r="P33" s="269">
        <v>506187.71889663505</v>
      </c>
      <c r="Q33" s="269">
        <v>542220.72887291654</v>
      </c>
      <c r="R33" s="269">
        <v>588609.42170873948</v>
      </c>
      <c r="S33" s="269">
        <v>651328.81157822523</v>
      </c>
      <c r="T33" s="269">
        <v>686362.27105481992</v>
      </c>
      <c r="U33" s="269">
        <v>769498.28878610593</v>
      </c>
      <c r="V33" s="269">
        <v>786378.54344763595</v>
      </c>
      <c r="W33" s="269">
        <v>811893.28315978008</v>
      </c>
      <c r="X33" s="269">
        <v>828473.3707938923</v>
      </c>
      <c r="Y33" s="269">
        <v>825277.028943546</v>
      </c>
      <c r="Z33" s="269">
        <v>812585.72692916344</v>
      </c>
      <c r="AA33" s="269">
        <v>816376.56202536577</v>
      </c>
      <c r="AB33" s="269">
        <v>793710.56637323427</v>
      </c>
    </row>
    <row r="34" spans="1:28" ht="24" x14ac:dyDescent="0.2">
      <c r="A34" s="270" t="s">
        <v>1365</v>
      </c>
      <c r="B34" s="270" t="s">
        <v>1364</v>
      </c>
      <c r="C34" s="271">
        <v>0</v>
      </c>
      <c r="D34" s="271">
        <v>0</v>
      </c>
      <c r="E34" s="271">
        <v>0</v>
      </c>
      <c r="F34" s="271">
        <v>8316.7042502760614</v>
      </c>
      <c r="G34" s="271">
        <v>13594.381971805411</v>
      </c>
      <c r="H34" s="271">
        <v>18455.063852364659</v>
      </c>
      <c r="I34" s="271">
        <v>26266.155125212728</v>
      </c>
      <c r="J34" s="271">
        <v>33045.773537934772</v>
      </c>
      <c r="K34" s="271">
        <v>42089.465056891662</v>
      </c>
      <c r="L34" s="271">
        <v>49896.537129910677</v>
      </c>
      <c r="M34" s="271">
        <v>57890.535212140705</v>
      </c>
      <c r="N34" s="271">
        <v>77198.3682733686</v>
      </c>
      <c r="O34" s="271">
        <v>88675.825780651285</v>
      </c>
      <c r="P34" s="271">
        <v>106179.35068059601</v>
      </c>
      <c r="Q34" s="271">
        <v>123215.88019363975</v>
      </c>
      <c r="R34" s="271">
        <v>144046.4169973082</v>
      </c>
      <c r="S34" s="271">
        <v>170780.68992785664</v>
      </c>
      <c r="T34" s="271">
        <v>191964.3577580667</v>
      </c>
      <c r="U34" s="271">
        <v>228667.15832402286</v>
      </c>
      <c r="V34" s="271">
        <v>247429.44173287976</v>
      </c>
      <c r="W34" s="271">
        <v>269649.59009332128</v>
      </c>
      <c r="X34" s="271">
        <v>289638.14965327515</v>
      </c>
      <c r="Y34" s="271">
        <v>247684.14677577166</v>
      </c>
      <c r="Z34" s="271">
        <v>165645.63502734638</v>
      </c>
      <c r="AA34" s="271">
        <v>197080.53949548537</v>
      </c>
      <c r="AB34" s="271">
        <v>188740.48685403445</v>
      </c>
    </row>
    <row r="35" spans="1:28" ht="24" x14ac:dyDescent="0.2">
      <c r="A35" s="270" t="s">
        <v>1366</v>
      </c>
      <c r="B35" s="270" t="s">
        <v>1364</v>
      </c>
      <c r="C35" s="271">
        <v>72537.65889999998</v>
      </c>
      <c r="D35" s="271">
        <v>76871.129299999986</v>
      </c>
      <c r="E35" s="271">
        <v>76705.812399999995</v>
      </c>
      <c r="F35" s="271">
        <v>77225.471022850761</v>
      </c>
      <c r="G35" s="271">
        <v>80865.950943020565</v>
      </c>
      <c r="H35" s="271">
        <v>78986.412622149466</v>
      </c>
      <c r="I35" s="271">
        <v>86121.492138170957</v>
      </c>
      <c r="J35" s="271">
        <v>86295.082497737909</v>
      </c>
      <c r="K35" s="271">
        <v>89846.333413328524</v>
      </c>
      <c r="L35" s="271">
        <v>88671.367000711252</v>
      </c>
      <c r="M35" s="271">
        <v>86778.649288705477</v>
      </c>
      <c r="N35" s="271">
        <v>98546.744381447555</v>
      </c>
      <c r="O35" s="271">
        <v>97057.059398953847</v>
      </c>
      <c r="P35" s="271">
        <v>100108.96457064233</v>
      </c>
      <c r="Q35" s="271">
        <v>100356.72636084483</v>
      </c>
      <c r="R35" s="271">
        <v>101475.58093821988</v>
      </c>
      <c r="S35" s="271">
        <v>104025.70571307796</v>
      </c>
      <c r="T35" s="271">
        <v>100913.95350586632</v>
      </c>
      <c r="U35" s="271">
        <v>103375.51387210486</v>
      </c>
      <c r="V35" s="271">
        <v>95667.392980705044</v>
      </c>
      <c r="W35" s="271">
        <v>88471.891680529414</v>
      </c>
      <c r="X35" s="271">
        <v>79768.776213784644</v>
      </c>
      <c r="Y35" s="271">
        <v>68478.831369610154</v>
      </c>
      <c r="Z35" s="271">
        <v>39218.08394029014</v>
      </c>
      <c r="AA35" s="271">
        <v>28956.285886586596</v>
      </c>
      <c r="AB35" s="271">
        <v>21672.026906091891</v>
      </c>
    </row>
    <row r="36" spans="1:28" ht="24" x14ac:dyDescent="0.2">
      <c r="A36" s="270" t="s">
        <v>1367</v>
      </c>
      <c r="B36" s="270" t="s">
        <v>1364</v>
      </c>
      <c r="C36" s="271">
        <v>134712.79509999999</v>
      </c>
      <c r="D36" s="271">
        <v>142760.66870000001</v>
      </c>
      <c r="E36" s="271">
        <v>142453.65159999998</v>
      </c>
      <c r="F36" s="271">
        <v>152346.65298966574</v>
      </c>
      <c r="G36" s="271">
        <v>164773.09264332303</v>
      </c>
      <c r="H36" s="271">
        <v>166500.42786868286</v>
      </c>
      <c r="I36" s="271">
        <v>188136.43908960605</v>
      </c>
      <c r="J36" s="271">
        <v>195736.69188907402</v>
      </c>
      <c r="K36" s="271">
        <v>212040.20875847962</v>
      </c>
      <c r="L36" s="271">
        <v>218238.96295892779</v>
      </c>
      <c r="M36" s="271">
        <v>223305.41416210536</v>
      </c>
      <c r="N36" s="271">
        <v>265887.26526078937</v>
      </c>
      <c r="O36" s="271">
        <v>275441.67399408651</v>
      </c>
      <c r="P36" s="271">
        <v>299899.4036453967</v>
      </c>
      <c r="Q36" s="271">
        <v>318648.12231843191</v>
      </c>
      <c r="R36" s="271">
        <v>343087.42377321131</v>
      </c>
      <c r="S36" s="271">
        <v>376522.4159372907</v>
      </c>
      <c r="T36" s="271">
        <v>393483.9597908869</v>
      </c>
      <c r="U36" s="271">
        <v>437455.61658997816</v>
      </c>
      <c r="V36" s="271">
        <v>443281.70873405109</v>
      </c>
      <c r="W36" s="271">
        <v>453771.80138592934</v>
      </c>
      <c r="X36" s="271">
        <v>459066.4449268324</v>
      </c>
      <c r="Y36" s="271">
        <v>509114.0507981641</v>
      </c>
      <c r="Z36" s="271">
        <v>607722.00796152698</v>
      </c>
      <c r="AA36" s="271">
        <v>590339.73664329387</v>
      </c>
      <c r="AB36" s="271">
        <v>583298.05261310807</v>
      </c>
    </row>
    <row r="37" spans="1:28" x14ac:dyDescent="0.2">
      <c r="A37" s="270" t="s">
        <v>1203</v>
      </c>
      <c r="B37" s="270" t="s">
        <v>1368</v>
      </c>
      <c r="C37" s="271">
        <v>15904.033000000001</v>
      </c>
      <c r="D37" s="271">
        <v>16263.394999999999</v>
      </c>
      <c r="E37" s="271">
        <v>16336.237000000001</v>
      </c>
      <c r="F37" s="271">
        <v>18562.980882761261</v>
      </c>
      <c r="G37" s="271">
        <v>21059.828409343543</v>
      </c>
      <c r="H37" s="271">
        <v>21553.914468346276</v>
      </c>
      <c r="I37" s="271">
        <v>25853.555703807753</v>
      </c>
      <c r="J37" s="271">
        <v>27222.670547819253</v>
      </c>
      <c r="K37" s="271">
        <v>31067.899539557311</v>
      </c>
      <c r="L37" s="271">
        <v>32245.799495910207</v>
      </c>
      <c r="M37" s="271">
        <v>33180.034394752336</v>
      </c>
      <c r="N37" s="271">
        <v>41190.137733555166</v>
      </c>
      <c r="O37" s="271">
        <v>43322.689960684715</v>
      </c>
      <c r="P37" s="271">
        <v>48271.429038380265</v>
      </c>
      <c r="Q37" s="271">
        <v>52175.350389281462</v>
      </c>
      <c r="R37" s="271">
        <v>57114.620764425046</v>
      </c>
      <c r="S37" s="271">
        <v>63876.076825175609</v>
      </c>
      <c r="T37" s="271">
        <v>67413.503448310526</v>
      </c>
      <c r="U37" s="271">
        <v>76506.326138837001</v>
      </c>
      <c r="V37" s="271">
        <v>78455.910214542353</v>
      </c>
      <c r="W37" s="271">
        <v>81599.010224709957</v>
      </c>
      <c r="X37" s="271">
        <v>83301.24961249379</v>
      </c>
      <c r="Y37" s="271">
        <v>82979.86418272747</v>
      </c>
      <c r="Z37" s="271">
        <v>81703.780539876592</v>
      </c>
      <c r="AA37" s="271">
        <v>82084.941011318107</v>
      </c>
      <c r="AB37" s="271">
        <v>79805.922966689104</v>
      </c>
    </row>
    <row r="38" spans="1:28" x14ac:dyDescent="0.2">
      <c r="A38" s="270" t="s">
        <v>1204</v>
      </c>
      <c r="B38" s="270" t="s">
        <v>1369</v>
      </c>
      <c r="C38" s="271">
        <v>8268626.947286129</v>
      </c>
      <c r="D38" s="271">
        <v>9149893.4432965089</v>
      </c>
      <c r="E38" s="271">
        <v>9035797.2623905502</v>
      </c>
      <c r="F38" s="271">
        <v>8905129.1572792642</v>
      </c>
      <c r="G38" s="271">
        <v>8706714.846088158</v>
      </c>
      <c r="H38" s="271">
        <v>8649319.9304006826</v>
      </c>
      <c r="I38" s="271">
        <v>8317194.5483015329</v>
      </c>
      <c r="J38" s="271">
        <v>8183348.2708638916</v>
      </c>
      <c r="K38" s="271">
        <v>7898144.5930041913</v>
      </c>
      <c r="L38" s="271">
        <v>7754987.4913397841</v>
      </c>
      <c r="M38" s="271">
        <v>7657734.2039361894</v>
      </c>
      <c r="N38" s="271">
        <v>7024043.0689597558</v>
      </c>
      <c r="O38" s="271">
        <v>6875476.6585630942</v>
      </c>
      <c r="P38" s="271">
        <v>6482042.8157937061</v>
      </c>
      <c r="Q38" s="271">
        <v>6096888.8262148425</v>
      </c>
      <c r="R38" s="271">
        <v>5703354.7751876013</v>
      </c>
      <c r="S38" s="271">
        <v>5120835.5791780176</v>
      </c>
      <c r="T38" s="271">
        <v>4746169.4135796921</v>
      </c>
      <c r="U38" s="271">
        <v>3953436.985001558</v>
      </c>
      <c r="V38" s="271">
        <v>3781223.4278808571</v>
      </c>
      <c r="W38" s="271">
        <v>3588703.2783402456</v>
      </c>
      <c r="X38" s="271">
        <v>3432424.8027349897</v>
      </c>
      <c r="Y38" s="271">
        <v>3419182.12839938</v>
      </c>
      <c r="Z38" s="271">
        <v>3366601.1507254411</v>
      </c>
      <c r="AA38" s="271">
        <v>3382306.8533659666</v>
      </c>
      <c r="AB38" s="271">
        <v>3288400.0020443513</v>
      </c>
    </row>
    <row r="39" spans="1:28" x14ac:dyDescent="0.2">
      <c r="A39" s="270" t="s">
        <v>1205</v>
      </c>
      <c r="B39" s="270" t="s">
        <v>1369</v>
      </c>
      <c r="C39" s="271">
        <v>9280164.9240023885</v>
      </c>
      <c r="D39" s="271">
        <v>10269240.677100457</v>
      </c>
      <c r="E39" s="271">
        <v>10141186.6020096</v>
      </c>
      <c r="F39" s="271">
        <v>9994533.2853863798</v>
      </c>
      <c r="G39" s="271">
        <v>9771846.0674390104</v>
      </c>
      <c r="H39" s="271">
        <v>9707429.7759828083</v>
      </c>
      <c r="I39" s="271">
        <v>9334674.0160511024</v>
      </c>
      <c r="J39" s="271">
        <v>9184453.7271199673</v>
      </c>
      <c r="K39" s="271">
        <v>8864359.8125748504</v>
      </c>
      <c r="L39" s="271">
        <v>8703689.6648033503</v>
      </c>
      <c r="M39" s="271">
        <v>8594538.9494233318</v>
      </c>
      <c r="N39" s="271">
        <v>7883325.5543880537</v>
      </c>
      <c r="O39" s="271">
        <v>7716584.353044997</v>
      </c>
      <c r="P39" s="271">
        <v>7275019.9952791315</v>
      </c>
      <c r="Q39" s="271">
        <v>6842748.4020368606</v>
      </c>
      <c r="R39" s="271">
        <v>6401071.5770904617</v>
      </c>
      <c r="S39" s="271">
        <v>5747290.2123210067</v>
      </c>
      <c r="T39" s="271">
        <v>5326789.4652970731</v>
      </c>
      <c r="U39" s="271">
        <v>4437078.5465786289</v>
      </c>
      <c r="V39" s="271">
        <v>4243797.3376889536</v>
      </c>
      <c r="W39" s="271">
        <v>4027725.3404492098</v>
      </c>
      <c r="X39" s="271">
        <v>3852328.6225981922</v>
      </c>
      <c r="Y39" s="271">
        <v>3837465.9129061503</v>
      </c>
      <c r="Z39" s="271">
        <v>3778452.46994999</v>
      </c>
      <c r="AA39" s="271">
        <v>3796079.5211739242</v>
      </c>
      <c r="AB39" s="271">
        <v>3690684.626312403</v>
      </c>
    </row>
    <row r="40" spans="1:28" x14ac:dyDescent="0.2">
      <c r="A40" s="219" t="s">
        <v>1206</v>
      </c>
      <c r="B40" s="274"/>
      <c r="C40" s="275"/>
      <c r="D40" s="275"/>
      <c r="E40" s="275"/>
      <c r="F40" s="275"/>
      <c r="G40" s="275"/>
      <c r="H40" s="275"/>
      <c r="I40" s="275"/>
      <c r="J40" s="275"/>
      <c r="K40" s="275"/>
      <c r="L40" s="275"/>
      <c r="M40" s="275"/>
      <c r="N40" s="275"/>
      <c r="O40" s="275"/>
      <c r="P40" s="275"/>
      <c r="Q40" s="275"/>
      <c r="R40" s="275"/>
      <c r="S40" s="275"/>
      <c r="T40" s="275"/>
      <c r="U40" s="275"/>
      <c r="V40" s="275"/>
      <c r="W40" s="275"/>
      <c r="X40" s="275"/>
      <c r="Y40" s="275"/>
      <c r="Z40" s="275"/>
      <c r="AA40" s="275"/>
      <c r="AB40" s="276"/>
    </row>
    <row r="41" spans="1:28" s="211" customFormat="1" x14ac:dyDescent="0.2">
      <c r="A41" s="278" t="s">
        <v>1207</v>
      </c>
      <c r="B41" s="278" t="s">
        <v>1370</v>
      </c>
      <c r="C41" s="279">
        <v>34299591.604088917</v>
      </c>
      <c r="D41" s="279">
        <v>33674606.222814843</v>
      </c>
      <c r="E41" s="279">
        <v>32687818.929307126</v>
      </c>
      <c r="F41" s="279">
        <v>34228780.246738896</v>
      </c>
      <c r="G41" s="279">
        <v>35803074.899346091</v>
      </c>
      <c r="H41" s="279">
        <v>32066316.760396037</v>
      </c>
      <c r="I41" s="279">
        <v>34637128.255903035</v>
      </c>
      <c r="J41" s="279">
        <v>35894065.443177156</v>
      </c>
      <c r="K41" s="279">
        <v>37173224.853901558</v>
      </c>
      <c r="L41" s="279">
        <v>39899591.913560554</v>
      </c>
      <c r="M41" s="279">
        <v>36903795.047832035</v>
      </c>
      <c r="N41" s="279">
        <v>41511393.894872695</v>
      </c>
      <c r="O41" s="279">
        <v>43257910.779219583</v>
      </c>
      <c r="P41" s="279">
        <v>42388480.939992383</v>
      </c>
      <c r="Q41" s="279">
        <v>41090582.518180691</v>
      </c>
      <c r="R41" s="279">
        <v>43632925.453208312</v>
      </c>
      <c r="S41" s="279">
        <v>48996770.678725153</v>
      </c>
      <c r="T41" s="279">
        <v>49284968.802412316</v>
      </c>
      <c r="U41" s="279">
        <v>53218273.046582296</v>
      </c>
      <c r="V41" s="279">
        <v>53122447.034585521</v>
      </c>
      <c r="W41" s="279">
        <v>73037557.400387675</v>
      </c>
      <c r="X41" s="279">
        <v>80353475.077166453</v>
      </c>
      <c r="Y41" s="279">
        <v>98538735.226209387</v>
      </c>
      <c r="Z41" s="279">
        <v>118415647.48214003</v>
      </c>
      <c r="AA41" s="279">
        <v>123913516.82952511</v>
      </c>
      <c r="AB41" s="279">
        <v>125605168.93641283</v>
      </c>
    </row>
    <row r="42" spans="1:28" s="211" customFormat="1" x14ac:dyDescent="0.2">
      <c r="A42" s="280" t="s">
        <v>1208</v>
      </c>
      <c r="B42" s="280" t="s">
        <v>1370</v>
      </c>
      <c r="C42" s="281">
        <v>0</v>
      </c>
      <c r="D42" s="281">
        <v>420947.71430063277</v>
      </c>
      <c r="E42" s="281">
        <v>802918.78838824388</v>
      </c>
      <c r="F42" s="281">
        <v>1239457.1587740853</v>
      </c>
      <c r="G42" s="281">
        <v>1699381.5132877396</v>
      </c>
      <c r="H42" s="281">
        <v>1870878.7302250343</v>
      </c>
      <c r="I42" s="281">
        <v>2385370.3810369186</v>
      </c>
      <c r="J42" s="281">
        <v>2837499.4075079686</v>
      </c>
      <c r="K42" s="281">
        <v>3305219.0900642271</v>
      </c>
      <c r="L42" s="281">
        <v>3928845.3334725723</v>
      </c>
      <c r="M42" s="281">
        <v>3975617.3017281983</v>
      </c>
      <c r="N42" s="281">
        <v>4844796.3784785792</v>
      </c>
      <c r="O42" s="281">
        <v>5425548.3176526008</v>
      </c>
      <c r="P42" s="281">
        <v>5674998.8150159381</v>
      </c>
      <c r="Q42" s="281">
        <v>5838700.7039106293</v>
      </c>
      <c r="R42" s="281">
        <v>6548075.555787622</v>
      </c>
      <c r="S42" s="281">
        <v>7732965.4182634773</v>
      </c>
      <c r="T42" s="281">
        <v>8150015.4685428087</v>
      </c>
      <c r="U42" s="281">
        <v>9190691.762230482</v>
      </c>
      <c r="V42" s="281">
        <v>9553174.5162115842</v>
      </c>
      <c r="W42" s="281">
        <v>13641824.074557547</v>
      </c>
      <c r="X42" s="281">
        <v>15551679.444995597</v>
      </c>
      <c r="Y42" s="281">
        <v>19071270.056231443</v>
      </c>
      <c r="Z42" s="281">
        <v>22918264.445256673</v>
      </c>
      <c r="AA42" s="281">
        <v>23982326.72307216</v>
      </c>
      <c r="AB42" s="281">
        <v>24309730.50086154</v>
      </c>
    </row>
    <row r="43" spans="1:28" s="211" customFormat="1" x14ac:dyDescent="0.2">
      <c r="A43" s="280" t="s">
        <v>1209</v>
      </c>
      <c r="B43" s="280" t="s">
        <v>1370</v>
      </c>
      <c r="C43" s="281">
        <v>34299591.604088917</v>
      </c>
      <c r="D43" s="281">
        <v>32053658.442198861</v>
      </c>
      <c r="E43" s="281">
        <v>29596011.125539601</v>
      </c>
      <c r="F43" s="281">
        <v>29455989.559369616</v>
      </c>
      <c r="G43" s="281">
        <v>29259248.673896387</v>
      </c>
      <c r="H43" s="281">
        <v>24862104.402102787</v>
      </c>
      <c r="I43" s="281">
        <v>25451757.499079145</v>
      </c>
      <c r="J43" s="281">
        <v>24967676.699765731</v>
      </c>
      <c r="K43" s="281">
        <v>24445783.02091682</v>
      </c>
      <c r="L43" s="281">
        <v>24770745.961144723</v>
      </c>
      <c r="M43" s="281">
        <v>21594843.78645888</v>
      </c>
      <c r="N43" s="281">
        <v>22855485.642042458</v>
      </c>
      <c r="O43" s="281">
        <v>22365694.940169163</v>
      </c>
      <c r="P43" s="281">
        <v>20535703.453169532</v>
      </c>
      <c r="Q43" s="281">
        <v>18607436.450007174</v>
      </c>
      <c r="R43" s="281">
        <v>18418182.199181937</v>
      </c>
      <c r="S43" s="281">
        <v>19219359.597779721</v>
      </c>
      <c r="T43" s="281">
        <v>17901618.716597348</v>
      </c>
      <c r="U43" s="281">
        <v>17827579.8364667</v>
      </c>
      <c r="V43" s="281">
        <v>16335937.680050619</v>
      </c>
      <c r="W43" s="281">
        <v>20506842.287832718</v>
      </c>
      <c r="X43" s="281">
        <v>20468459.84885389</v>
      </c>
      <c r="Y43" s="281">
        <v>25100795.49885767</v>
      </c>
      <c r="Z43" s="281">
        <v>30164046.093047842</v>
      </c>
      <c r="AA43" s="281">
        <v>31564519.66165363</v>
      </c>
      <c r="AB43" s="281">
        <v>31995434.605840031</v>
      </c>
    </row>
    <row r="44" spans="1:28" s="211" customFormat="1" x14ac:dyDescent="0.2">
      <c r="A44" s="280" t="s">
        <v>1210</v>
      </c>
      <c r="B44" s="280" t="s">
        <v>1370</v>
      </c>
      <c r="C44" s="281">
        <v>0</v>
      </c>
      <c r="D44" s="281">
        <v>312817.20208368846</v>
      </c>
      <c r="E44" s="281">
        <v>596669.84841888724</v>
      </c>
      <c r="F44" s="281">
        <v>921072.87280197174</v>
      </c>
      <c r="G44" s="281">
        <v>1262854.6306341498</v>
      </c>
      <c r="H44" s="281">
        <v>1390298.6759275042</v>
      </c>
      <c r="I44" s="281">
        <v>1772630.8118075677</v>
      </c>
      <c r="J44" s="281">
        <v>2108619.6584900478</v>
      </c>
      <c r="K44" s="281">
        <v>2456194.327471924</v>
      </c>
      <c r="L44" s="281">
        <v>2919627.219447759</v>
      </c>
      <c r="M44" s="281">
        <v>2954384.686345946</v>
      </c>
      <c r="N44" s="281">
        <v>3600294.2795372661</v>
      </c>
      <c r="O44" s="281">
        <v>4031866.1601897622</v>
      </c>
      <c r="P44" s="281">
        <v>4217239.3169800956</v>
      </c>
      <c r="Q44" s="281">
        <v>4338890.4511237526</v>
      </c>
      <c r="R44" s="281">
        <v>4866045.3657462643</v>
      </c>
      <c r="S44" s="281">
        <v>5746567.8605003506</v>
      </c>
      <c r="T44" s="281">
        <v>6056488.6070091901</v>
      </c>
      <c r="U44" s="281">
        <v>6829842.2454938646</v>
      </c>
      <c r="V44" s="281">
        <v>7099212.6139548179</v>
      </c>
      <c r="W44" s="281">
        <v>10137594.511971386</v>
      </c>
      <c r="X44" s="281">
        <v>11556857.743647378</v>
      </c>
      <c r="Y44" s="281">
        <v>14172357.127735995</v>
      </c>
      <c r="Z44" s="281">
        <v>17031158.780111924</v>
      </c>
      <c r="AA44" s="281">
        <v>17821891.152045697</v>
      </c>
      <c r="AB44" s="281">
        <v>18065193.420333009</v>
      </c>
    </row>
    <row r="45" spans="1:28" s="211" customFormat="1" x14ac:dyDescent="0.2">
      <c r="A45" s="280" t="s">
        <v>1211</v>
      </c>
      <c r="B45" s="280" t="s">
        <v>1370</v>
      </c>
      <c r="C45" s="281">
        <v>20354674.39104246</v>
      </c>
      <c r="D45" s="281">
        <v>19314904.532135822</v>
      </c>
      <c r="E45" s="281">
        <v>18122361.064771943</v>
      </c>
      <c r="F45" s="281">
        <v>18343172.533006065</v>
      </c>
      <c r="G45" s="281">
        <v>18546605.267791092</v>
      </c>
      <c r="H45" s="281">
        <v>16056565.087823167</v>
      </c>
      <c r="I45" s="281">
        <v>16764661.93717752</v>
      </c>
      <c r="J45" s="281">
        <v>16792149.41890651</v>
      </c>
      <c r="K45" s="281">
        <v>16808051.078336105</v>
      </c>
      <c r="L45" s="281">
        <v>17435047.171594687</v>
      </c>
      <c r="M45" s="281">
        <v>15582908.062639136</v>
      </c>
      <c r="N45" s="281">
        <v>16936118.275710914</v>
      </c>
      <c r="O45" s="281">
        <v>17049760.887675624</v>
      </c>
      <c r="P45" s="281">
        <v>16137435.074062347</v>
      </c>
      <c r="Q45" s="281">
        <v>15107093.118890008</v>
      </c>
      <c r="R45" s="281">
        <v>15488629.025296174</v>
      </c>
      <c r="S45" s="281">
        <v>16788964.501010917</v>
      </c>
      <c r="T45" s="281">
        <v>16297305.590296343</v>
      </c>
      <c r="U45" s="281">
        <v>16977857.265457559</v>
      </c>
      <c r="V45" s="281">
        <v>16345010.568585128</v>
      </c>
      <c r="W45" s="281">
        <v>21666584.224032417</v>
      </c>
      <c r="X45" s="281">
        <v>22973393.455442503</v>
      </c>
      <c r="Y45" s="281">
        <v>28172635.132200543</v>
      </c>
      <c r="Z45" s="281">
        <v>33855527.197494216</v>
      </c>
      <c r="AA45" s="281">
        <v>35427390.960235022</v>
      </c>
      <c r="AB45" s="281">
        <v>35911041.348770648</v>
      </c>
    </row>
    <row r="46" spans="1:28" s="211" customFormat="1" ht="24" x14ac:dyDescent="0.2">
      <c r="A46" s="282" t="s">
        <v>1212</v>
      </c>
      <c r="B46" s="282" t="s">
        <v>1370</v>
      </c>
      <c r="C46" s="283">
        <v>68599183.208177835</v>
      </c>
      <c r="D46" s="283">
        <v>66149212.379314333</v>
      </c>
      <c r="E46" s="283">
        <v>63086748.843234971</v>
      </c>
      <c r="F46" s="283">
        <v>64924226.964882597</v>
      </c>
      <c r="G46" s="283">
        <v>66761705.086530216</v>
      </c>
      <c r="H46" s="283">
        <v>58799299.892723858</v>
      </c>
      <c r="I46" s="283">
        <v>62474256.136019103</v>
      </c>
      <c r="J46" s="283">
        <v>63699241.550450861</v>
      </c>
      <c r="K46" s="283">
        <v>64924226.964882605</v>
      </c>
      <c r="L46" s="283">
        <v>68599183.20817785</v>
      </c>
      <c r="M46" s="283">
        <v>62474256.136019111</v>
      </c>
      <c r="N46" s="283">
        <v>69211675.91539374</v>
      </c>
      <c r="O46" s="283">
        <v>71049154.037041336</v>
      </c>
      <c r="P46" s="283">
        <v>68599183.208177865</v>
      </c>
      <c r="Q46" s="283">
        <v>65536719.672098488</v>
      </c>
      <c r="R46" s="283">
        <v>68599183.208177865</v>
      </c>
      <c r="S46" s="283">
        <v>75949095.694768354</v>
      </c>
      <c r="T46" s="283">
        <v>75336602.987552464</v>
      </c>
      <c r="U46" s="283">
        <v>80236544.645279482</v>
      </c>
      <c r="V46" s="283">
        <v>79011559.230847716</v>
      </c>
      <c r="W46" s="283">
        <v>107186223.76277794</v>
      </c>
      <c r="X46" s="283">
        <v>116373614.37101594</v>
      </c>
      <c r="Y46" s="283">
        <v>142710800.78129849</v>
      </c>
      <c r="Z46" s="283">
        <v>171497958.02044457</v>
      </c>
      <c r="AA46" s="283">
        <v>179460363.21425092</v>
      </c>
      <c r="AB46" s="283">
        <v>181910334.04311439</v>
      </c>
    </row>
    <row r="47" spans="1:28" x14ac:dyDescent="0.2">
      <c r="A47" s="219" t="s">
        <v>1213</v>
      </c>
      <c r="B47" s="274"/>
      <c r="C47" s="275"/>
      <c r="D47" s="275"/>
      <c r="E47" s="275"/>
      <c r="F47" s="275"/>
      <c r="G47" s="275"/>
      <c r="H47" s="275"/>
      <c r="I47" s="275"/>
      <c r="J47" s="275"/>
      <c r="K47" s="275"/>
      <c r="L47" s="275"/>
      <c r="M47" s="275"/>
      <c r="N47" s="275"/>
      <c r="O47" s="275"/>
      <c r="P47" s="275"/>
      <c r="Q47" s="275"/>
      <c r="R47" s="275"/>
      <c r="S47" s="275"/>
      <c r="T47" s="275"/>
      <c r="U47" s="275"/>
      <c r="V47" s="275"/>
      <c r="W47" s="275"/>
      <c r="X47" s="275"/>
      <c r="Y47" s="275"/>
      <c r="Z47" s="275"/>
      <c r="AA47" s="275"/>
      <c r="AB47" s="276"/>
    </row>
    <row r="48" spans="1:28" x14ac:dyDescent="0.2">
      <c r="A48" s="284" t="s">
        <v>1214</v>
      </c>
      <c r="B48" s="284" t="s">
        <v>1371</v>
      </c>
      <c r="C48" s="285">
        <v>26938.92368462183</v>
      </c>
      <c r="D48" s="285">
        <v>27403.034712058998</v>
      </c>
      <c r="E48" s="285">
        <v>27460</v>
      </c>
      <c r="F48" s="285">
        <v>27712.051890478691</v>
      </c>
      <c r="G48" s="285">
        <v>28339.645490842442</v>
      </c>
      <c r="H48" s="285">
        <v>28689.240682589974</v>
      </c>
      <c r="I48" s="285">
        <v>29330.880518336438</v>
      </c>
      <c r="J48" s="285">
        <v>29842.397590190256</v>
      </c>
      <c r="K48" s="285">
        <v>30975.850750934223</v>
      </c>
      <c r="L48" s="285">
        <v>32027.172452009836</v>
      </c>
      <c r="M48" s="285">
        <v>33459.30320123901</v>
      </c>
      <c r="N48" s="285">
        <v>35825.898776623711</v>
      </c>
      <c r="O48" s="285">
        <v>37389.908069168363</v>
      </c>
      <c r="P48" s="285">
        <v>39245.376745904316</v>
      </c>
      <c r="Q48" s="285">
        <v>41820.910072606886</v>
      </c>
      <c r="R48" s="285">
        <v>43998.076556927488</v>
      </c>
      <c r="S48" s="285">
        <v>46885.943534292906</v>
      </c>
      <c r="T48" s="285">
        <v>49724.843774421352</v>
      </c>
      <c r="U48" s="285">
        <v>52790.629733301124</v>
      </c>
      <c r="V48" s="285">
        <v>53823.418207135648</v>
      </c>
      <c r="W48" s="285">
        <v>54030.795265633213</v>
      </c>
      <c r="X48" s="285">
        <v>54693.309367851209</v>
      </c>
      <c r="Y48" s="285">
        <v>54212.225805993257</v>
      </c>
      <c r="Z48" s="285">
        <v>53088.331888773639</v>
      </c>
      <c r="AA48" s="285">
        <v>52602.176075249721</v>
      </c>
      <c r="AB48" s="285">
        <v>52383.288907202426</v>
      </c>
    </row>
    <row r="49" spans="1:30" x14ac:dyDescent="0.2">
      <c r="A49" s="219" t="s">
        <v>1215</v>
      </c>
      <c r="B49" s="274"/>
      <c r="C49" s="275"/>
      <c r="D49" s="275"/>
      <c r="E49" s="275"/>
      <c r="F49" s="275"/>
      <c r="G49" s="275"/>
      <c r="H49" s="275"/>
      <c r="I49" s="275"/>
      <c r="J49" s="275"/>
      <c r="K49" s="275"/>
      <c r="L49" s="275"/>
      <c r="M49" s="275"/>
      <c r="N49" s="275"/>
      <c r="O49" s="275"/>
      <c r="P49" s="275"/>
      <c r="Q49" s="275"/>
      <c r="R49" s="275"/>
      <c r="S49" s="275"/>
      <c r="T49" s="275"/>
      <c r="U49" s="275"/>
      <c r="V49" s="275"/>
      <c r="W49" s="275"/>
      <c r="X49" s="275"/>
      <c r="Y49" s="275"/>
      <c r="Z49" s="275"/>
      <c r="AA49" s="275"/>
      <c r="AB49" s="276"/>
    </row>
    <row r="50" spans="1:30" ht="24" x14ac:dyDescent="0.2">
      <c r="A50" s="268" t="s">
        <v>1372</v>
      </c>
      <c r="B50" s="268" t="s">
        <v>1373</v>
      </c>
      <c r="C50" s="269">
        <v>0</v>
      </c>
      <c r="D50" s="269">
        <v>1104.0430630922885</v>
      </c>
      <c r="E50" s="269">
        <v>2180.5520138290221</v>
      </c>
      <c r="F50" s="269">
        <v>3362.5296138246968</v>
      </c>
      <c r="G50" s="269">
        <v>4624.0764655488711</v>
      </c>
      <c r="H50" s="269">
        <v>5830.9096090300336</v>
      </c>
      <c r="I50" s="269">
        <v>7344.6653847664147</v>
      </c>
      <c r="J50" s="269">
        <v>8741.8000140182958</v>
      </c>
      <c r="K50" s="269">
        <v>10388.908143997436</v>
      </c>
      <c r="L50" s="269">
        <v>11917.336962441179</v>
      </c>
      <c r="M50" s="269">
        <v>13512.641373519604</v>
      </c>
      <c r="N50" s="269">
        <v>16240.438794255128</v>
      </c>
      <c r="O50" s="269">
        <v>18209.797469894864</v>
      </c>
      <c r="P50" s="269">
        <v>20751.311258164769</v>
      </c>
      <c r="Q50" s="269">
        <v>23317.946477271231</v>
      </c>
      <c r="R50" s="269">
        <v>26236.729797514497</v>
      </c>
      <c r="S50" s="269">
        <v>29769.456859064892</v>
      </c>
      <c r="T50" s="269">
        <v>32798.322466492195</v>
      </c>
      <c r="U50" s="269">
        <v>37268.100563141554</v>
      </c>
      <c r="V50" s="269">
        <v>39938.225047893422</v>
      </c>
      <c r="W50" s="269">
        <v>42803.333590098788</v>
      </c>
      <c r="X50" s="269">
        <v>45534.641708636445</v>
      </c>
      <c r="Y50" s="269">
        <v>42307.023311989287</v>
      </c>
      <c r="Z50" s="269">
        <v>38218.855705301001</v>
      </c>
      <c r="AA50" s="269">
        <v>39175.703211104905</v>
      </c>
      <c r="AB50" s="269">
        <v>42166.405082911711</v>
      </c>
    </row>
    <row r="51" spans="1:30" ht="24" x14ac:dyDescent="0.2">
      <c r="A51" s="272" t="s">
        <v>1374</v>
      </c>
      <c r="B51" s="272" t="s">
        <v>1373</v>
      </c>
      <c r="C51" s="273">
        <v>113978.39999059883</v>
      </c>
      <c r="D51" s="273">
        <v>120807.93570516941</v>
      </c>
      <c r="E51" s="273">
        <v>114049.58655093896</v>
      </c>
      <c r="F51" s="273">
        <v>111847.94633973041</v>
      </c>
      <c r="G51" s="273">
        <v>109789.51778369199</v>
      </c>
      <c r="H51" s="273">
        <v>105137.14411747169</v>
      </c>
      <c r="I51" s="273">
        <v>104463.12856814965</v>
      </c>
      <c r="J51" s="273">
        <v>100556.81538104337</v>
      </c>
      <c r="K51" s="273">
        <v>98310.05869355418</v>
      </c>
      <c r="L51" s="273">
        <v>93864.669998769445</v>
      </c>
      <c r="M51" s="273">
        <v>89277.700990248763</v>
      </c>
      <c r="N51" s="273">
        <v>90433.721641120341</v>
      </c>
      <c r="O51" s="273">
        <v>85640.166760680586</v>
      </c>
      <c r="P51" s="273">
        <v>82396.455450902853</v>
      </c>
      <c r="Q51" s="273">
        <v>77951.16903906026</v>
      </c>
      <c r="R51" s="273">
        <v>73435.757373278801</v>
      </c>
      <c r="S51" s="273">
        <v>69153.452410364262</v>
      </c>
      <c r="T51" s="273">
        <v>62414.079170745448</v>
      </c>
      <c r="U51" s="273">
        <v>57006.457288725527</v>
      </c>
      <c r="V51" s="273">
        <v>47749.964768770209</v>
      </c>
      <c r="W51" s="273">
        <v>38307.412850609282</v>
      </c>
      <c r="X51" s="273">
        <v>28366.382714816049</v>
      </c>
      <c r="Y51" s="273">
        <v>31308.882789649448</v>
      </c>
      <c r="Z51" s="273">
        <v>34264.967877823547</v>
      </c>
      <c r="AA51" s="273">
        <v>33646.268352275518</v>
      </c>
      <c r="AB51" s="273">
        <v>28633.72684467581</v>
      </c>
    </row>
    <row r="52" spans="1:30" x14ac:dyDescent="0.2">
      <c r="A52" s="219" t="s">
        <v>1218</v>
      </c>
      <c r="B52" s="274"/>
      <c r="C52" s="275"/>
      <c r="D52" s="275"/>
      <c r="E52" s="275"/>
      <c r="F52" s="275"/>
      <c r="G52" s="275"/>
      <c r="H52" s="275"/>
      <c r="I52" s="275"/>
      <c r="J52" s="275"/>
      <c r="K52" s="275"/>
      <c r="L52" s="275"/>
      <c r="M52" s="275"/>
      <c r="N52" s="275"/>
      <c r="O52" s="275"/>
      <c r="P52" s="275"/>
      <c r="Q52" s="275"/>
      <c r="R52" s="275"/>
      <c r="S52" s="275"/>
      <c r="T52" s="275"/>
      <c r="U52" s="275"/>
      <c r="V52" s="275"/>
      <c r="W52" s="275"/>
      <c r="X52" s="275"/>
      <c r="Y52" s="275"/>
      <c r="Z52" s="275"/>
      <c r="AA52" s="275"/>
      <c r="AB52" s="276"/>
    </row>
    <row r="53" spans="1:30" x14ac:dyDescent="0.2">
      <c r="A53" s="268" t="s">
        <v>1375</v>
      </c>
      <c r="B53" s="268" t="s">
        <v>1376</v>
      </c>
      <c r="C53" s="269">
        <v>196038.57453425386</v>
      </c>
      <c r="D53" s="269">
        <v>214800.96662739868</v>
      </c>
      <c r="E53" s="269">
        <v>212413.28109135342</v>
      </c>
      <c r="F53" s="269">
        <v>218607.54913805323</v>
      </c>
      <c r="G53" s="269">
        <v>225128.10704945363</v>
      </c>
      <c r="H53" s="269">
        <v>226944.65308791623</v>
      </c>
      <c r="I53" s="269">
        <v>238099.72685116791</v>
      </c>
      <c r="J53" s="269">
        <v>242266.4326778946</v>
      </c>
      <c r="K53" s="269">
        <v>252007.43585571644</v>
      </c>
      <c r="L53" s="269">
        <v>255787.89430925276</v>
      </c>
      <c r="M53" s="269">
        <v>259807.89814245352</v>
      </c>
      <c r="N53" s="269">
        <v>282576.63507741294</v>
      </c>
      <c r="O53" s="269">
        <v>289704.77754049649</v>
      </c>
      <c r="P53" s="269">
        <v>303890.08837282867</v>
      </c>
      <c r="Q53" s="269">
        <v>315518.95681774896</v>
      </c>
      <c r="R53" s="269">
        <v>330260.99098469055</v>
      </c>
      <c r="S53" s="269">
        <v>349861.47287679056</v>
      </c>
      <c r="T53" s="269">
        <v>360808.76956450508</v>
      </c>
      <c r="U53" s="269">
        <v>386054.22605815349</v>
      </c>
      <c r="V53" s="269">
        <v>391654.96376742813</v>
      </c>
      <c r="W53" s="269">
        <v>399462.52849266131</v>
      </c>
      <c r="X53" s="269">
        <v>404334.17994586285</v>
      </c>
      <c r="Y53" s="269">
        <v>402774.21398141928</v>
      </c>
      <c r="Z53" s="269">
        <v>396580.25848045578</v>
      </c>
      <c r="AA53" s="269">
        <v>398430.36525994597</v>
      </c>
      <c r="AB53" s="269">
        <v>387368.28760272567</v>
      </c>
    </row>
    <row r="54" spans="1:30" x14ac:dyDescent="0.2">
      <c r="A54" s="270" t="s">
        <v>1377</v>
      </c>
      <c r="B54" s="270" t="s">
        <v>1378</v>
      </c>
      <c r="C54" s="271">
        <v>241763</v>
      </c>
      <c r="D54" s="271">
        <v>251564</v>
      </c>
      <c r="E54" s="271">
        <v>250393</v>
      </c>
      <c r="F54" s="271">
        <v>253627</v>
      </c>
      <c r="G54" s="271">
        <v>258743</v>
      </c>
      <c r="H54" s="271">
        <v>260124</v>
      </c>
      <c r="I54" s="271">
        <v>266848</v>
      </c>
      <c r="J54" s="271">
        <v>270367</v>
      </c>
      <c r="K54" s="271">
        <v>278005</v>
      </c>
      <c r="L54" s="271">
        <v>283797</v>
      </c>
      <c r="M54" s="271">
        <v>290738</v>
      </c>
      <c r="N54" s="271">
        <v>308565</v>
      </c>
      <c r="O54" s="271">
        <v>317132</v>
      </c>
      <c r="P54" s="271">
        <v>329420</v>
      </c>
      <c r="Q54" s="271">
        <v>342782</v>
      </c>
      <c r="R54" s="271">
        <v>356633</v>
      </c>
      <c r="S54" s="271">
        <v>374756</v>
      </c>
      <c r="T54" s="271">
        <v>389133</v>
      </c>
      <c r="U54" s="271">
        <v>409885</v>
      </c>
      <c r="V54" s="271">
        <v>415431</v>
      </c>
      <c r="W54" s="271">
        <v>419330</v>
      </c>
      <c r="X54" s="271">
        <v>423560</v>
      </c>
      <c r="Y54" s="271">
        <v>421662</v>
      </c>
      <c r="Z54" s="271">
        <v>415483</v>
      </c>
      <c r="AA54" s="271">
        <v>414360</v>
      </c>
      <c r="AB54" s="271">
        <v>408465</v>
      </c>
    </row>
    <row r="55" spans="1:30" x14ac:dyDescent="0.2">
      <c r="A55" s="270" t="s">
        <v>1379</v>
      </c>
      <c r="B55" s="270" t="s">
        <v>1355</v>
      </c>
      <c r="C55" s="271">
        <v>17574.572</v>
      </c>
      <c r="D55" s="271">
        <v>17808.904999999999</v>
      </c>
      <c r="E55" s="271">
        <v>17749.766</v>
      </c>
      <c r="F55" s="271">
        <v>18932.053818860899</v>
      </c>
      <c r="G55" s="271">
        <v>19616.242600246835</v>
      </c>
      <c r="H55" s="271">
        <v>19837.904261810247</v>
      </c>
      <c r="I55" s="271">
        <v>21349.599409447179</v>
      </c>
      <c r="J55" s="271">
        <v>21434.904078462263</v>
      </c>
      <c r="K55" s="271">
        <v>23104.658113079007</v>
      </c>
      <c r="L55" s="271">
        <v>22670.79795089586</v>
      </c>
      <c r="M55" s="271">
        <v>22432.382741247275</v>
      </c>
      <c r="N55" s="271">
        <v>24630.595720765763</v>
      </c>
      <c r="O55" s="271">
        <v>25256.742654114678</v>
      </c>
      <c r="P55" s="271">
        <v>26649.657548153576</v>
      </c>
      <c r="Q55" s="271">
        <v>27216.696722490793</v>
      </c>
      <c r="R55" s="271">
        <v>28423.04437351623</v>
      </c>
      <c r="S55" s="271">
        <v>29889.480392022902</v>
      </c>
      <c r="T55" s="271">
        <v>29911.892927207369</v>
      </c>
      <c r="U55" s="271">
        <v>32052.166929899286</v>
      </c>
      <c r="V55" s="271">
        <v>32628.006812264764</v>
      </c>
      <c r="W55" s="271">
        <v>34178.257375712972</v>
      </c>
      <c r="X55" s="271">
        <v>34472.7393521091</v>
      </c>
      <c r="Y55" s="271">
        <v>34339.739712806717</v>
      </c>
      <c r="Z55" s="271">
        <v>33811.655212080441</v>
      </c>
      <c r="AA55" s="271">
        <v>33969.39168835726</v>
      </c>
      <c r="AB55" s="271">
        <v>33026.26063814231</v>
      </c>
    </row>
    <row r="56" spans="1:30" x14ac:dyDescent="0.2">
      <c r="A56" s="270" t="s">
        <v>1222</v>
      </c>
      <c r="B56" s="270" t="s">
        <v>1355</v>
      </c>
      <c r="C56" s="271">
        <v>17574.572</v>
      </c>
      <c r="D56" s="271">
        <v>17808.904999999999</v>
      </c>
      <c r="E56" s="271">
        <v>17749.766</v>
      </c>
      <c r="F56" s="271">
        <v>18932.053818860899</v>
      </c>
      <c r="G56" s="271">
        <v>19616.242600246835</v>
      </c>
      <c r="H56" s="271">
        <v>19837.904261810247</v>
      </c>
      <c r="I56" s="271">
        <v>21349.599409447179</v>
      </c>
      <c r="J56" s="271">
        <v>21434.904078462263</v>
      </c>
      <c r="K56" s="271">
        <v>23104.658113079007</v>
      </c>
      <c r="L56" s="271">
        <v>22670.79795089586</v>
      </c>
      <c r="M56" s="271">
        <v>22432.382741247275</v>
      </c>
      <c r="N56" s="271">
        <v>24630.595720765763</v>
      </c>
      <c r="O56" s="271">
        <v>25256.742654114678</v>
      </c>
      <c r="P56" s="271">
        <v>26649.657548153576</v>
      </c>
      <c r="Q56" s="271">
        <v>27216.696722490793</v>
      </c>
      <c r="R56" s="271">
        <v>28423.04437351623</v>
      </c>
      <c r="S56" s="271">
        <v>29889.480392022902</v>
      </c>
      <c r="T56" s="271">
        <v>29911.892927207369</v>
      </c>
      <c r="U56" s="271">
        <v>32052.166929899286</v>
      </c>
      <c r="V56" s="271">
        <v>32628.006812264764</v>
      </c>
      <c r="W56" s="271">
        <v>34178.257375712972</v>
      </c>
      <c r="X56" s="271">
        <v>34472.7393521091</v>
      </c>
      <c r="Y56" s="271">
        <v>34339.739712806717</v>
      </c>
      <c r="Z56" s="271">
        <v>33811.655212080441</v>
      </c>
      <c r="AA56" s="271">
        <v>33969.39168835726</v>
      </c>
      <c r="AB56" s="271">
        <v>33026.26063814231</v>
      </c>
    </row>
    <row r="57" spans="1:30" x14ac:dyDescent="0.2">
      <c r="A57" s="272" t="s">
        <v>1223</v>
      </c>
      <c r="B57" s="272" t="s">
        <v>1356</v>
      </c>
      <c r="C57" s="273">
        <v>2565</v>
      </c>
      <c r="D57" s="273">
        <v>2576</v>
      </c>
      <c r="E57" s="273">
        <v>2615</v>
      </c>
      <c r="F57" s="273">
        <v>2661</v>
      </c>
      <c r="G57" s="273">
        <v>2718</v>
      </c>
      <c r="H57" s="273">
        <v>2732</v>
      </c>
      <c r="I57" s="273">
        <v>2712</v>
      </c>
      <c r="J57" s="273">
        <v>2715</v>
      </c>
      <c r="K57" s="273">
        <v>2754</v>
      </c>
      <c r="L57" s="273">
        <v>3049</v>
      </c>
      <c r="M57" s="273">
        <v>2844</v>
      </c>
      <c r="N57" s="273">
        <v>2894</v>
      </c>
      <c r="O57" s="273">
        <v>2867</v>
      </c>
      <c r="P57" s="273">
        <v>2915</v>
      </c>
      <c r="Q57" s="273">
        <v>2912</v>
      </c>
      <c r="R57" s="273">
        <v>2968</v>
      </c>
      <c r="S57" s="273">
        <v>3122</v>
      </c>
      <c r="T57" s="273">
        <v>3299</v>
      </c>
      <c r="U57" s="273">
        <v>3568</v>
      </c>
      <c r="V57" s="273">
        <v>3656</v>
      </c>
      <c r="W57" s="273">
        <v>3838</v>
      </c>
      <c r="X57" s="273">
        <v>4246</v>
      </c>
      <c r="Y57" s="273">
        <v>4549</v>
      </c>
      <c r="Z57" s="273">
        <v>4638</v>
      </c>
      <c r="AA57" s="273">
        <v>5034</v>
      </c>
      <c r="AB57" s="273">
        <v>5276</v>
      </c>
    </row>
    <row r="58" spans="1:30" x14ac:dyDescent="0.2">
      <c r="A58" s="219" t="s">
        <v>1224</v>
      </c>
      <c r="B58" s="274"/>
      <c r="C58" s="275"/>
      <c r="D58" s="275"/>
      <c r="E58" s="275"/>
      <c r="F58" s="275"/>
      <c r="G58" s="275"/>
      <c r="H58" s="275"/>
      <c r="I58" s="275"/>
      <c r="J58" s="275"/>
      <c r="K58" s="275"/>
      <c r="L58" s="275"/>
      <c r="M58" s="275"/>
      <c r="N58" s="275"/>
      <c r="O58" s="275"/>
      <c r="P58" s="275"/>
      <c r="Q58" s="275"/>
      <c r="R58" s="275"/>
      <c r="S58" s="275"/>
      <c r="T58" s="275"/>
      <c r="U58" s="275"/>
      <c r="V58" s="275"/>
      <c r="W58" s="275"/>
      <c r="X58" s="275"/>
      <c r="Y58" s="275"/>
      <c r="Z58" s="275"/>
      <c r="AA58" s="275"/>
      <c r="AB58" s="276"/>
    </row>
    <row r="59" spans="1:30" x14ac:dyDescent="0.2">
      <c r="A59" s="268" t="s">
        <v>1225</v>
      </c>
      <c r="B59" s="268" t="s">
        <v>1380</v>
      </c>
      <c r="C59" s="269">
        <v>484488.72012572939</v>
      </c>
      <c r="D59" s="269">
        <v>536125.3073685352</v>
      </c>
      <c r="E59" s="269">
        <v>529440.00000000012</v>
      </c>
      <c r="F59" s="269">
        <v>544283.48646061018</v>
      </c>
      <c r="G59" s="269">
        <v>561364.97281283315</v>
      </c>
      <c r="H59" s="269">
        <v>566300.04949690192</v>
      </c>
      <c r="I59" s="269">
        <v>594430.46480119938</v>
      </c>
      <c r="J59" s="269">
        <v>606433.41293783975</v>
      </c>
      <c r="K59" s="269">
        <v>630609.07202341163</v>
      </c>
      <c r="L59" s="269">
        <v>643008.93039723986</v>
      </c>
      <c r="M59" s="269">
        <v>656176.3079646657</v>
      </c>
      <c r="N59" s="269">
        <v>716944.22168831388</v>
      </c>
      <c r="O59" s="269">
        <v>736892.54764528433</v>
      </c>
      <c r="P59" s="269">
        <v>775144.17399786832</v>
      </c>
      <c r="Q59" s="269">
        <v>808802.64031649113</v>
      </c>
      <c r="R59" s="269">
        <v>849373.56142854574</v>
      </c>
      <c r="S59" s="269">
        <v>903506.37931968854</v>
      </c>
      <c r="T59" s="269">
        <v>936877.92257528426</v>
      </c>
      <c r="U59" s="269">
        <v>1005414.2782303953</v>
      </c>
      <c r="V59" s="269">
        <v>1020740.7518471016</v>
      </c>
      <c r="W59" s="269">
        <v>1039268.8086420868</v>
      </c>
      <c r="X59" s="269">
        <v>1052938.3015698104</v>
      </c>
      <c r="Y59" s="269">
        <v>1048875.9492024495</v>
      </c>
      <c r="Z59" s="269">
        <v>1032746.0910092671</v>
      </c>
      <c r="AA59" s="269">
        <v>1037564.0074425999</v>
      </c>
      <c r="AB59" s="269">
        <v>1008756.9319146632</v>
      </c>
    </row>
    <row r="60" spans="1:30" x14ac:dyDescent="0.2">
      <c r="A60" s="272" t="s">
        <v>1226</v>
      </c>
      <c r="B60" s="272" t="s">
        <v>1357</v>
      </c>
      <c r="C60" s="273">
        <v>60442</v>
      </c>
      <c r="D60" s="273">
        <v>62893</v>
      </c>
      <c r="E60" s="273">
        <v>62599</v>
      </c>
      <c r="F60" s="273">
        <v>63408</v>
      </c>
      <c r="G60" s="273">
        <v>64686</v>
      </c>
      <c r="H60" s="273">
        <v>65031</v>
      </c>
      <c r="I60" s="273">
        <v>66714</v>
      </c>
      <c r="J60" s="273">
        <v>67593</v>
      </c>
      <c r="K60" s="273">
        <v>69502</v>
      </c>
      <c r="L60" s="273">
        <v>70949</v>
      </c>
      <c r="M60" s="273">
        <v>72685</v>
      </c>
      <c r="N60" s="273">
        <v>77141</v>
      </c>
      <c r="O60" s="273">
        <v>79283</v>
      </c>
      <c r="P60" s="273">
        <v>82356</v>
      </c>
      <c r="Q60" s="273">
        <v>85696</v>
      </c>
      <c r="R60" s="273">
        <v>89160</v>
      </c>
      <c r="S60" s="273">
        <v>93689</v>
      </c>
      <c r="T60" s="273">
        <v>97284</v>
      </c>
      <c r="U60" s="273">
        <v>102472</v>
      </c>
      <c r="V60" s="273">
        <v>103859</v>
      </c>
      <c r="W60" s="273">
        <v>104834</v>
      </c>
      <c r="X60" s="273">
        <v>105890</v>
      </c>
      <c r="Y60" s="273">
        <v>105417</v>
      </c>
      <c r="Z60" s="273">
        <v>103872</v>
      </c>
      <c r="AA60" s="273">
        <v>103591</v>
      </c>
      <c r="AB60" s="273">
        <v>102118</v>
      </c>
    </row>
    <row r="61" spans="1:30" x14ac:dyDescent="0.2">
      <c r="A61" s="219" t="s">
        <v>1227</v>
      </c>
      <c r="B61" s="274"/>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6"/>
    </row>
    <row r="62" spans="1:30" s="287" customFormat="1" ht="24" x14ac:dyDescent="0.2">
      <c r="A62" s="278" t="s">
        <v>1228</v>
      </c>
      <c r="B62" s="286" t="s">
        <v>1381</v>
      </c>
      <c r="C62" s="269">
        <v>2154.6327272727276</v>
      </c>
      <c r="D62" s="269">
        <v>2197.6636363636362</v>
      </c>
      <c r="E62" s="269">
        <v>2209.2000000000003</v>
      </c>
      <c r="F62" s="269">
        <v>2202.445454545455</v>
      </c>
      <c r="G62" s="269">
        <v>2251.6654545454544</v>
      </c>
      <c r="H62" s="269">
        <v>2279.5181818181818</v>
      </c>
      <c r="I62" s="269">
        <v>2319.1272727272731</v>
      </c>
      <c r="J62" s="269">
        <v>2321.4890909090909</v>
      </c>
      <c r="K62" s="269">
        <v>2384.5418181818186</v>
      </c>
      <c r="L62" s="269">
        <v>2378.3709090909092</v>
      </c>
      <c r="M62" s="269">
        <v>2401.2654545454543</v>
      </c>
      <c r="N62" s="269">
        <v>2453.4181818181819</v>
      </c>
      <c r="O62" s="269">
        <v>2460.64</v>
      </c>
      <c r="P62" s="269">
        <v>2451.48</v>
      </c>
      <c r="Q62" s="269">
        <v>2406.84</v>
      </c>
      <c r="R62" s="269">
        <v>2387</v>
      </c>
      <c r="S62" s="269">
        <v>2382.2525724976613</v>
      </c>
      <c r="T62" s="269">
        <v>2263.5282651072125</v>
      </c>
      <c r="U62" s="269">
        <v>2218.1999999999998</v>
      </c>
      <c r="V62" s="269">
        <v>2064.3998291328489</v>
      </c>
      <c r="W62" s="269">
        <v>1973.4939999999999</v>
      </c>
      <c r="X62" s="269">
        <v>1973.4939999999999</v>
      </c>
      <c r="Y62" s="269">
        <v>1973.4939999999999</v>
      </c>
      <c r="Z62" s="269">
        <v>1973.4939999999999</v>
      </c>
      <c r="AA62" s="269">
        <v>1973.4939999999999</v>
      </c>
      <c r="AB62" s="269">
        <v>1973.4939999999999</v>
      </c>
    </row>
    <row r="63" spans="1:30" s="287" customFormat="1" ht="24" x14ac:dyDescent="0.2">
      <c r="A63" s="282" t="s">
        <v>1229</v>
      </c>
      <c r="B63" s="288" t="s">
        <v>1382</v>
      </c>
      <c r="C63" s="273">
        <v>9.3345454545454558</v>
      </c>
      <c r="D63" s="273">
        <v>9.4272727272727277</v>
      </c>
      <c r="E63" s="273">
        <v>10.64</v>
      </c>
      <c r="F63" s="273">
        <v>10.743636363636366</v>
      </c>
      <c r="G63" s="273">
        <v>11.418181818181818</v>
      </c>
      <c r="H63" s="273">
        <v>13.256363636363638</v>
      </c>
      <c r="I63" s="273">
        <v>14.545454545454547</v>
      </c>
      <c r="J63" s="273">
        <v>15.856363636363637</v>
      </c>
      <c r="K63" s="273">
        <v>17.189090909090911</v>
      </c>
      <c r="L63" s="273">
        <v>21.534545454545452</v>
      </c>
      <c r="M63" s="273">
        <v>22.938181818181818</v>
      </c>
      <c r="N63" s="273">
        <v>24.363636363636367</v>
      </c>
      <c r="O63" s="273">
        <v>27.04</v>
      </c>
      <c r="P63" s="273">
        <v>28.52</v>
      </c>
      <c r="Q63" s="273">
        <v>31</v>
      </c>
      <c r="R63" s="273">
        <v>36.58</v>
      </c>
      <c r="S63" s="273">
        <v>41.53289678827565</v>
      </c>
      <c r="T63" s="273">
        <v>37.775438596491227</v>
      </c>
      <c r="U63" s="273">
        <v>39</v>
      </c>
      <c r="V63" s="273">
        <v>40.085433575395129</v>
      </c>
      <c r="W63" s="273">
        <v>41.089999999999996</v>
      </c>
      <c r="X63" s="273">
        <v>41.089999999999996</v>
      </c>
      <c r="Y63" s="273">
        <v>41.089999999999996</v>
      </c>
      <c r="Z63" s="273">
        <v>41.089999999999996</v>
      </c>
      <c r="AA63" s="273">
        <v>41.089999999999996</v>
      </c>
      <c r="AB63" s="273">
        <v>41.089999999999996</v>
      </c>
    </row>
    <row r="64" spans="1:30" s="277" customFormat="1" ht="12.75" x14ac:dyDescent="0.2">
      <c r="A64" s="222" t="s">
        <v>1230</v>
      </c>
      <c r="B64" s="289"/>
      <c r="C64" s="290"/>
      <c r="D64" s="290"/>
      <c r="E64" s="290"/>
      <c r="F64" s="290"/>
      <c r="G64" s="290"/>
      <c r="H64" s="290"/>
      <c r="I64" s="290"/>
      <c r="J64" s="290"/>
      <c r="K64" s="290"/>
      <c r="L64" s="290"/>
      <c r="M64" s="290"/>
      <c r="N64" s="290"/>
      <c r="O64" s="290"/>
      <c r="P64" s="290"/>
      <c r="Q64" s="290"/>
      <c r="R64" s="290"/>
      <c r="S64" s="290"/>
      <c r="T64" s="290"/>
      <c r="U64" s="290"/>
      <c r="V64" s="290"/>
      <c r="W64" s="290"/>
      <c r="X64" s="290"/>
      <c r="Y64" s="290"/>
      <c r="Z64" s="290"/>
      <c r="AA64" s="290"/>
      <c r="AB64" s="291"/>
      <c r="AC64" s="287"/>
      <c r="AD64" s="287"/>
    </row>
    <row r="65" spans="1:30" x14ac:dyDescent="0.2">
      <c r="A65" s="264" t="s">
        <v>1231</v>
      </c>
      <c r="B65" s="292"/>
      <c r="C65" s="293"/>
      <c r="D65" s="293"/>
      <c r="E65" s="293"/>
      <c r="F65" s="293"/>
      <c r="G65" s="293"/>
      <c r="H65" s="293"/>
      <c r="I65" s="293"/>
      <c r="J65" s="293"/>
      <c r="K65" s="293"/>
      <c r="L65" s="293"/>
      <c r="M65" s="293"/>
      <c r="N65" s="293"/>
      <c r="O65" s="293"/>
      <c r="P65" s="293"/>
      <c r="Q65" s="293"/>
      <c r="R65" s="293"/>
      <c r="S65" s="293"/>
      <c r="T65" s="293"/>
      <c r="U65" s="293"/>
      <c r="V65" s="293"/>
      <c r="W65" s="293"/>
      <c r="X65" s="293"/>
      <c r="Y65" s="293"/>
      <c r="Z65" s="293"/>
      <c r="AA65" s="293"/>
      <c r="AB65" s="294"/>
      <c r="AC65" s="287"/>
      <c r="AD65" s="287"/>
    </row>
    <row r="66" spans="1:30" s="211" customFormat="1" ht="12.75" x14ac:dyDescent="0.2">
      <c r="A66" s="278" t="s">
        <v>1233</v>
      </c>
      <c r="B66" s="295" t="s">
        <v>1383</v>
      </c>
      <c r="C66" s="279">
        <v>761</v>
      </c>
      <c r="D66" s="279">
        <v>734</v>
      </c>
      <c r="E66" s="279">
        <v>732</v>
      </c>
      <c r="F66" s="279">
        <v>726</v>
      </c>
      <c r="G66" s="279">
        <v>725</v>
      </c>
      <c r="H66" s="279">
        <v>675</v>
      </c>
      <c r="I66" s="279">
        <v>623</v>
      </c>
      <c r="J66" s="279">
        <v>615</v>
      </c>
      <c r="K66" s="279">
        <v>558</v>
      </c>
      <c r="L66" s="279">
        <v>581</v>
      </c>
      <c r="M66" s="279">
        <v>585</v>
      </c>
      <c r="N66" s="279">
        <v>570</v>
      </c>
      <c r="O66" s="279">
        <v>590</v>
      </c>
      <c r="P66" s="279">
        <v>574</v>
      </c>
      <c r="Q66" s="279">
        <v>572</v>
      </c>
      <c r="R66" s="279">
        <v>566</v>
      </c>
      <c r="S66" s="279">
        <v>571</v>
      </c>
      <c r="T66" s="279">
        <v>574</v>
      </c>
      <c r="U66" s="279">
        <v>577</v>
      </c>
      <c r="V66" s="279">
        <v>579</v>
      </c>
      <c r="W66" s="279">
        <v>585</v>
      </c>
      <c r="X66" s="279">
        <v>606</v>
      </c>
      <c r="Y66" s="279">
        <v>606</v>
      </c>
      <c r="Z66" s="279">
        <v>650</v>
      </c>
      <c r="AA66" s="279">
        <v>667</v>
      </c>
      <c r="AB66" s="279">
        <v>667</v>
      </c>
      <c r="AC66" s="296"/>
      <c r="AD66" s="287"/>
    </row>
    <row r="67" spans="1:30" s="211" customFormat="1" ht="12.75" x14ac:dyDescent="0.2">
      <c r="A67" s="297" t="s">
        <v>1384</v>
      </c>
      <c r="B67" s="297" t="s">
        <v>1355</v>
      </c>
      <c r="C67" s="281">
        <v>4128.4811063912066</v>
      </c>
      <c r="D67" s="281">
        <v>4093.6666370435196</v>
      </c>
      <c r="E67" s="281">
        <v>4126</v>
      </c>
      <c r="F67" s="281">
        <v>4094.6105980013049</v>
      </c>
      <c r="G67" s="281">
        <v>4091.3975611528563</v>
      </c>
      <c r="H67" s="281">
        <v>3811.4917607846983</v>
      </c>
      <c r="I67" s="281">
        <v>3519.9512085845254</v>
      </c>
      <c r="J67" s="281">
        <v>3476.8098929705702</v>
      </c>
      <c r="K67" s="281">
        <v>3156.4368696339793</v>
      </c>
      <c r="L67" s="281">
        <v>3288.4857839125143</v>
      </c>
      <c r="M67" s="281">
        <v>3313.0842369464931</v>
      </c>
      <c r="N67" s="281">
        <v>3230.041422403202</v>
      </c>
      <c r="O67" s="281">
        <v>3345.3512220717485</v>
      </c>
      <c r="P67" s="281">
        <v>3256.5512862438331</v>
      </c>
      <c r="Q67" s="281">
        <v>3247.1191759368235</v>
      </c>
      <c r="R67" s="281">
        <v>3214.9531586891899</v>
      </c>
      <c r="S67" s="281">
        <v>3245.2652157740163</v>
      </c>
      <c r="T67" s="281">
        <v>3264.2370992247006</v>
      </c>
      <c r="U67" s="281">
        <v>3283.2290675525123</v>
      </c>
      <c r="V67" s="281">
        <v>3296.5476015837326</v>
      </c>
      <c r="W67" s="281">
        <v>3332.666992146002</v>
      </c>
      <c r="X67" s="281">
        <v>3454.3297644539616</v>
      </c>
      <c r="Y67" s="281">
        <v>3454.3297644539616</v>
      </c>
      <c r="Z67" s="281">
        <v>3705.1391862955034</v>
      </c>
      <c r="AA67" s="281">
        <v>3802.0428265524629</v>
      </c>
      <c r="AB67" s="281">
        <v>3802.0428265524629</v>
      </c>
      <c r="AC67" s="298"/>
      <c r="AD67" s="287"/>
    </row>
    <row r="68" spans="1:30" s="211" customFormat="1" ht="24" x14ac:dyDescent="0.2">
      <c r="A68" s="297" t="s">
        <v>1236</v>
      </c>
      <c r="B68" s="297" t="s">
        <v>1355</v>
      </c>
      <c r="C68" s="281">
        <v>665.39988748185954</v>
      </c>
      <c r="D68" s="281">
        <v>659.78873330924387</v>
      </c>
      <c r="E68" s="281">
        <v>665</v>
      </c>
      <c r="F68" s="281">
        <v>650.87267974601548</v>
      </c>
      <c r="G68" s="281">
        <v>641.13866748306202</v>
      </c>
      <c r="H68" s="281">
        <v>588.53317976832102</v>
      </c>
      <c r="I68" s="281">
        <v>535.30295284704607</v>
      </c>
      <c r="J68" s="281">
        <v>520.49233379108216</v>
      </c>
      <c r="K68" s="281">
        <v>464.91732958545811</v>
      </c>
      <c r="L68" s="281">
        <v>476.30543582622272</v>
      </c>
      <c r="M68" s="281">
        <v>471.61641690282227</v>
      </c>
      <c r="N68" s="281">
        <v>451.62380195395468</v>
      </c>
      <c r="O68" s="281">
        <v>459.15243525500767</v>
      </c>
      <c r="P68" s="281">
        <v>438.47167189594177</v>
      </c>
      <c r="Q68" s="281">
        <v>428.60695040793109</v>
      </c>
      <c r="R68" s="281">
        <v>415.72656261079356</v>
      </c>
      <c r="S68" s="281">
        <v>410.80427167363649</v>
      </c>
      <c r="T68" s="281">
        <v>404.18574539024502</v>
      </c>
      <c r="U68" s="281">
        <v>397.33783532476969</v>
      </c>
      <c r="V68" s="281">
        <v>389.58553528589408</v>
      </c>
      <c r="W68" s="281">
        <v>384.25898220842942</v>
      </c>
      <c r="X68" s="281">
        <v>388.20849508681528</v>
      </c>
      <c r="Y68" s="281">
        <v>393.93850977444356</v>
      </c>
      <c r="Z68" s="281">
        <v>400.63262266083234</v>
      </c>
      <c r="AA68" s="281">
        <v>407.25705685898367</v>
      </c>
      <c r="AB68" s="281">
        <v>377.06209850107069</v>
      </c>
      <c r="AC68" s="296"/>
      <c r="AD68" s="287"/>
    </row>
    <row r="69" spans="1:30" s="211" customFormat="1" ht="24" x14ac:dyDescent="0.2">
      <c r="A69" s="297" t="s">
        <v>1237</v>
      </c>
      <c r="B69" s="297" t="s">
        <v>1355</v>
      </c>
      <c r="C69" s="281">
        <v>0</v>
      </c>
      <c r="D69" s="281">
        <v>0</v>
      </c>
      <c r="E69" s="281">
        <v>0</v>
      </c>
      <c r="F69" s="281">
        <v>13.07394595398072</v>
      </c>
      <c r="G69" s="281">
        <v>26.284819469127182</v>
      </c>
      <c r="H69" s="281">
        <v>36.949635107531854</v>
      </c>
      <c r="I69" s="281">
        <v>45.768084634501371</v>
      </c>
      <c r="J69" s="281">
        <v>56.84222601736235</v>
      </c>
      <c r="K69" s="281">
        <v>62.288028167755378</v>
      </c>
      <c r="L69" s="281">
        <v>76.14977643126133</v>
      </c>
      <c r="M69" s="281">
        <v>88.185669644504074</v>
      </c>
      <c r="N69" s="281">
        <v>97.276924693287938</v>
      </c>
      <c r="O69" s="281">
        <v>112.58164751220107</v>
      </c>
      <c r="P69" s="281">
        <v>121.23452588340857</v>
      </c>
      <c r="Q69" s="281">
        <v>132.61370548989626</v>
      </c>
      <c r="R69" s="281">
        <v>143.03547473588165</v>
      </c>
      <c r="S69" s="281">
        <v>156.35242291589319</v>
      </c>
      <c r="T69" s="281">
        <v>169.42752480564008</v>
      </c>
      <c r="U69" s="281">
        <v>182.76835300120729</v>
      </c>
      <c r="V69" s="281">
        <v>196.03847326463591</v>
      </c>
      <c r="W69" s="281">
        <v>210.97706498207125</v>
      </c>
      <c r="X69" s="281">
        <v>232.06559484894493</v>
      </c>
      <c r="Y69" s="281">
        <v>226.33558016131667</v>
      </c>
      <c r="Z69" s="281">
        <v>264.67786984452101</v>
      </c>
      <c r="AA69" s="281">
        <v>275.45386391189436</v>
      </c>
      <c r="AB69" s="281">
        <v>305.64882226980734</v>
      </c>
      <c r="AC69" s="296"/>
      <c r="AD69" s="287"/>
    </row>
    <row r="70" spans="1:30" s="211" customFormat="1" ht="12.75" x14ac:dyDescent="0.2">
      <c r="A70" s="280" t="s">
        <v>1385</v>
      </c>
      <c r="B70" s="297" t="s">
        <v>1383</v>
      </c>
      <c r="C70" s="281">
        <v>761</v>
      </c>
      <c r="D70" s="281">
        <v>734</v>
      </c>
      <c r="E70" s="281">
        <v>732</v>
      </c>
      <c r="F70" s="281">
        <v>726</v>
      </c>
      <c r="G70" s="281">
        <v>725</v>
      </c>
      <c r="H70" s="281">
        <v>675</v>
      </c>
      <c r="I70" s="281">
        <v>623</v>
      </c>
      <c r="J70" s="281">
        <v>615</v>
      </c>
      <c r="K70" s="281">
        <v>558</v>
      </c>
      <c r="L70" s="281">
        <v>581</v>
      </c>
      <c r="M70" s="281">
        <v>585</v>
      </c>
      <c r="N70" s="281">
        <v>570</v>
      </c>
      <c r="O70" s="281">
        <v>590</v>
      </c>
      <c r="P70" s="281">
        <v>574</v>
      </c>
      <c r="Q70" s="281">
        <v>572</v>
      </c>
      <c r="R70" s="281">
        <v>566</v>
      </c>
      <c r="S70" s="281">
        <v>571</v>
      </c>
      <c r="T70" s="281">
        <v>574</v>
      </c>
      <c r="U70" s="281">
        <v>577</v>
      </c>
      <c r="V70" s="281">
        <v>579</v>
      </c>
      <c r="W70" s="281">
        <v>585</v>
      </c>
      <c r="X70" s="281">
        <v>606</v>
      </c>
      <c r="Y70" s="281">
        <v>606</v>
      </c>
      <c r="Z70" s="281">
        <v>650</v>
      </c>
      <c r="AA70" s="281">
        <v>667</v>
      </c>
      <c r="AB70" s="281">
        <v>667</v>
      </c>
      <c r="AC70" s="296"/>
      <c r="AD70" s="287"/>
    </row>
    <row r="71" spans="1:30" s="211" customFormat="1" ht="12.75" x14ac:dyDescent="0.2">
      <c r="A71" s="282" t="s">
        <v>1238</v>
      </c>
      <c r="B71" s="299" t="s">
        <v>1383</v>
      </c>
      <c r="C71" s="283">
        <v>761</v>
      </c>
      <c r="D71" s="283">
        <v>734</v>
      </c>
      <c r="E71" s="283">
        <v>732</v>
      </c>
      <c r="F71" s="283">
        <v>726</v>
      </c>
      <c r="G71" s="283">
        <v>725</v>
      </c>
      <c r="H71" s="283">
        <v>675</v>
      </c>
      <c r="I71" s="283">
        <v>623</v>
      </c>
      <c r="J71" s="283">
        <v>615</v>
      </c>
      <c r="K71" s="283">
        <v>558</v>
      </c>
      <c r="L71" s="283">
        <v>581</v>
      </c>
      <c r="M71" s="283">
        <v>585</v>
      </c>
      <c r="N71" s="283">
        <v>570</v>
      </c>
      <c r="O71" s="283">
        <v>590</v>
      </c>
      <c r="P71" s="283">
        <v>574</v>
      </c>
      <c r="Q71" s="283">
        <v>572</v>
      </c>
      <c r="R71" s="283">
        <v>566</v>
      </c>
      <c r="S71" s="283">
        <v>571</v>
      </c>
      <c r="T71" s="283">
        <v>574</v>
      </c>
      <c r="U71" s="283">
        <v>577</v>
      </c>
      <c r="V71" s="283">
        <v>579</v>
      </c>
      <c r="W71" s="283">
        <v>585</v>
      </c>
      <c r="X71" s="283">
        <v>606</v>
      </c>
      <c r="Y71" s="283">
        <v>606</v>
      </c>
      <c r="Z71" s="283">
        <v>650</v>
      </c>
      <c r="AA71" s="283">
        <v>667</v>
      </c>
      <c r="AB71" s="283">
        <v>667</v>
      </c>
      <c r="AC71" s="296"/>
      <c r="AD71" s="287"/>
    </row>
    <row r="72" spans="1:30" s="211" customFormat="1" ht="12.75" x14ac:dyDescent="0.2">
      <c r="A72" s="300" t="s">
        <v>1386</v>
      </c>
      <c r="B72" s="301"/>
      <c r="C72" s="302"/>
      <c r="D72" s="302"/>
      <c r="E72" s="302"/>
      <c r="F72" s="302"/>
      <c r="G72" s="302"/>
      <c r="H72" s="302"/>
      <c r="I72" s="302"/>
      <c r="J72" s="302"/>
      <c r="K72" s="302"/>
      <c r="L72" s="302"/>
      <c r="M72" s="302"/>
      <c r="N72" s="302"/>
      <c r="O72" s="302"/>
      <c r="P72" s="302"/>
      <c r="Q72" s="302"/>
      <c r="R72" s="302"/>
      <c r="S72" s="302"/>
      <c r="T72" s="302"/>
      <c r="U72" s="302"/>
      <c r="V72" s="302"/>
      <c r="W72" s="302"/>
      <c r="X72" s="302"/>
      <c r="Y72" s="302"/>
      <c r="Z72" s="302"/>
      <c r="AA72" s="302"/>
      <c r="AB72" s="303"/>
      <c r="AC72" s="296"/>
      <c r="AD72" s="287"/>
    </row>
    <row r="73" spans="1:30" s="211" customFormat="1" ht="12.75" x14ac:dyDescent="0.2">
      <c r="A73" s="278" t="s">
        <v>1387</v>
      </c>
      <c r="B73" s="295" t="s">
        <v>1371</v>
      </c>
      <c r="C73" s="279">
        <v>29660.301648253466</v>
      </c>
      <c r="D73" s="279">
        <v>29410.183593703641</v>
      </c>
      <c r="E73" s="279">
        <v>29642.47660265239</v>
      </c>
      <c r="F73" s="279">
        <v>30730.416699351441</v>
      </c>
      <c r="G73" s="279">
        <v>32017.16630704499</v>
      </c>
      <c r="H73" s="279">
        <v>31046.503325334248</v>
      </c>
      <c r="I73" s="279">
        <v>29796.863177870957</v>
      </c>
      <c r="J73" s="279">
        <v>30541.66372235223</v>
      </c>
      <c r="K73" s="279">
        <v>28733.904699689192</v>
      </c>
      <c r="L73" s="279">
        <v>30983.372730948908</v>
      </c>
      <c r="M73" s="279">
        <v>32269.111846073829</v>
      </c>
      <c r="N73" s="279">
        <v>32486.62901567774</v>
      </c>
      <c r="O73" s="279">
        <v>34708.105250225562</v>
      </c>
      <c r="P73" s="279">
        <v>34819.131635706734</v>
      </c>
      <c r="Q73" s="279">
        <v>35746.407335500386</v>
      </c>
      <c r="R73" s="279">
        <v>36409.042470487089</v>
      </c>
      <c r="S73" s="279">
        <v>37777.440626190524</v>
      </c>
      <c r="T73" s="279">
        <v>39028.184187825391</v>
      </c>
      <c r="U73" s="279">
        <v>40289.927015711444</v>
      </c>
      <c r="V73" s="279">
        <v>41491.009335521347</v>
      </c>
      <c r="W73" s="279">
        <v>42993.396440975463</v>
      </c>
      <c r="X73" s="279">
        <v>45647.675025097727</v>
      </c>
      <c r="Y73" s="279">
        <v>45647.675025097727</v>
      </c>
      <c r="Z73" s="279">
        <v>48962.027667184026</v>
      </c>
      <c r="AA73" s="279">
        <v>50242.573006171915</v>
      </c>
      <c r="AB73" s="279">
        <v>50242.573006171915</v>
      </c>
      <c r="AC73" s="296"/>
      <c r="AD73" s="287"/>
    </row>
    <row r="74" spans="1:30" s="211" customFormat="1" ht="12.75" x14ac:dyDescent="0.2">
      <c r="A74" s="280" t="s">
        <v>1388</v>
      </c>
      <c r="B74" s="297" t="s">
        <v>1371</v>
      </c>
      <c r="C74" s="281">
        <v>35168.538982273531</v>
      </c>
      <c r="D74" s="281">
        <v>34871.971312263871</v>
      </c>
      <c r="E74" s="281">
        <v>35147.403633802816</v>
      </c>
      <c r="F74" s="281">
        <v>35254.945984003534</v>
      </c>
      <c r="G74" s="281">
        <v>35601.476322030365</v>
      </c>
      <c r="H74" s="281">
        <v>33514.045316424868</v>
      </c>
      <c r="I74" s="281">
        <v>31271.728237589952</v>
      </c>
      <c r="J74" s="281">
        <v>31205.311162231628</v>
      </c>
      <c r="K74" s="281">
        <v>28617.195322524665</v>
      </c>
      <c r="L74" s="281">
        <v>30113.374785565855</v>
      </c>
      <c r="M74" s="281">
        <v>30639.49324273508</v>
      </c>
      <c r="N74" s="281">
        <v>30164.488377381225</v>
      </c>
      <c r="O74" s="281">
        <v>31544.413703327198</v>
      </c>
      <c r="P74" s="281">
        <v>31001.774953985303</v>
      </c>
      <c r="Q74" s="281">
        <v>31205.467904552974</v>
      </c>
      <c r="R74" s="281">
        <v>31186.581176454416</v>
      </c>
      <c r="S74" s="281">
        <v>31773.24912960353</v>
      </c>
      <c r="T74" s="281">
        <v>32252.986866809162</v>
      </c>
      <c r="U74" s="281">
        <v>32735.994321557017</v>
      </c>
      <c r="V74" s="281">
        <v>33164.991715409429</v>
      </c>
      <c r="W74" s="281">
        <v>33827.467846402142</v>
      </c>
      <c r="X74" s="281">
        <v>35372.028676755421</v>
      </c>
      <c r="Y74" s="281">
        <v>35372.028676755421</v>
      </c>
      <c r="Z74" s="281">
        <v>37940.294785298713</v>
      </c>
      <c r="AA74" s="281">
        <v>38932.579418144989</v>
      </c>
      <c r="AB74" s="281">
        <v>38932.579418144989</v>
      </c>
      <c r="AC74" s="296"/>
      <c r="AD74" s="287"/>
    </row>
    <row r="75" spans="1:30" s="211" customFormat="1" ht="12.75" x14ac:dyDescent="0.2">
      <c r="A75" s="280" t="s">
        <v>1389</v>
      </c>
      <c r="B75" s="297" t="s">
        <v>1390</v>
      </c>
      <c r="C75" s="281">
        <v>385.69808743169398</v>
      </c>
      <c r="D75" s="281">
        <v>372.01366120218574</v>
      </c>
      <c r="E75" s="281">
        <v>370.99999999999994</v>
      </c>
      <c r="F75" s="281">
        <v>367.9590163934426</v>
      </c>
      <c r="G75" s="281">
        <v>367.45218579234967</v>
      </c>
      <c r="H75" s="281">
        <v>342.11065573770486</v>
      </c>
      <c r="I75" s="281">
        <v>315.75546448087431</v>
      </c>
      <c r="J75" s="281">
        <v>311.7008196721311</v>
      </c>
      <c r="K75" s="281">
        <v>282.81147540983602</v>
      </c>
      <c r="L75" s="281">
        <v>294.46857923497265</v>
      </c>
      <c r="M75" s="281">
        <v>296.49590163934425</v>
      </c>
      <c r="N75" s="281">
        <v>288.89344262295077</v>
      </c>
      <c r="O75" s="281">
        <v>299.03005464480873</v>
      </c>
      <c r="P75" s="281">
        <v>290.92076502732237</v>
      </c>
      <c r="Q75" s="281">
        <v>289.90710382513657</v>
      </c>
      <c r="R75" s="281">
        <v>286.86612021857923</v>
      </c>
      <c r="S75" s="281">
        <v>289.4002732240437</v>
      </c>
      <c r="T75" s="281">
        <v>290.92076502732237</v>
      </c>
      <c r="U75" s="281">
        <v>292.44125683060105</v>
      </c>
      <c r="V75" s="281">
        <v>293.45491803278685</v>
      </c>
      <c r="W75" s="281">
        <v>296.49590163934425</v>
      </c>
      <c r="X75" s="281">
        <v>307.13934426229503</v>
      </c>
      <c r="Y75" s="281">
        <v>307.13934426229503</v>
      </c>
      <c r="Z75" s="281">
        <v>329.43989071038249</v>
      </c>
      <c r="AA75" s="281">
        <v>338.05601092896171</v>
      </c>
      <c r="AB75" s="281">
        <v>338.05601092896171</v>
      </c>
      <c r="AC75" s="296"/>
      <c r="AD75" s="287"/>
    </row>
    <row r="76" spans="1:30" s="211" customFormat="1" ht="12.75" x14ac:dyDescent="0.2">
      <c r="A76" s="282" t="s">
        <v>1391</v>
      </c>
      <c r="B76" s="299" t="s">
        <v>1392</v>
      </c>
      <c r="C76" s="283">
        <v>761</v>
      </c>
      <c r="D76" s="283">
        <v>734</v>
      </c>
      <c r="E76" s="283">
        <v>732</v>
      </c>
      <c r="F76" s="283">
        <v>726</v>
      </c>
      <c r="G76" s="283">
        <v>725</v>
      </c>
      <c r="H76" s="283">
        <v>675</v>
      </c>
      <c r="I76" s="283">
        <v>623</v>
      </c>
      <c r="J76" s="283">
        <v>615</v>
      </c>
      <c r="K76" s="283">
        <v>558</v>
      </c>
      <c r="L76" s="283">
        <v>581</v>
      </c>
      <c r="M76" s="283">
        <v>585</v>
      </c>
      <c r="N76" s="283">
        <v>570</v>
      </c>
      <c r="O76" s="283">
        <v>590</v>
      </c>
      <c r="P76" s="283">
        <v>574</v>
      </c>
      <c r="Q76" s="283">
        <v>572</v>
      </c>
      <c r="R76" s="283">
        <v>566</v>
      </c>
      <c r="S76" s="283">
        <v>571</v>
      </c>
      <c r="T76" s="283">
        <v>574</v>
      </c>
      <c r="U76" s="283">
        <v>577</v>
      </c>
      <c r="V76" s="283">
        <v>579</v>
      </c>
      <c r="W76" s="283">
        <v>585</v>
      </c>
      <c r="X76" s="283">
        <v>606</v>
      </c>
      <c r="Y76" s="283">
        <v>606</v>
      </c>
      <c r="Z76" s="283">
        <v>650</v>
      </c>
      <c r="AA76" s="283">
        <v>667</v>
      </c>
      <c r="AB76" s="283">
        <v>667</v>
      </c>
      <c r="AC76" s="296"/>
      <c r="AD76" s="287"/>
    </row>
    <row r="77" spans="1:30" s="211" customFormat="1" ht="12.75" x14ac:dyDescent="0.2">
      <c r="A77" s="304" t="s">
        <v>1244</v>
      </c>
      <c r="B77" s="301"/>
      <c r="C77" s="305"/>
      <c r="D77" s="305"/>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6"/>
      <c r="AC77" s="296"/>
      <c r="AD77" s="287"/>
    </row>
    <row r="78" spans="1:30" s="211" customFormat="1" ht="12.75" x14ac:dyDescent="0.2">
      <c r="A78" s="307" t="s">
        <v>1245</v>
      </c>
      <c r="B78" s="307" t="s">
        <v>1392</v>
      </c>
      <c r="C78" s="308">
        <v>761</v>
      </c>
      <c r="D78" s="308">
        <v>734</v>
      </c>
      <c r="E78" s="308">
        <v>732</v>
      </c>
      <c r="F78" s="308">
        <v>726</v>
      </c>
      <c r="G78" s="308">
        <v>725</v>
      </c>
      <c r="H78" s="308">
        <v>675</v>
      </c>
      <c r="I78" s="308">
        <v>623</v>
      </c>
      <c r="J78" s="308">
        <v>615</v>
      </c>
      <c r="K78" s="308">
        <v>558</v>
      </c>
      <c r="L78" s="308">
        <v>581</v>
      </c>
      <c r="M78" s="308">
        <v>585</v>
      </c>
      <c r="N78" s="308">
        <v>570</v>
      </c>
      <c r="O78" s="308">
        <v>590</v>
      </c>
      <c r="P78" s="308">
        <v>574</v>
      </c>
      <c r="Q78" s="308">
        <v>572</v>
      </c>
      <c r="R78" s="308">
        <v>566</v>
      </c>
      <c r="S78" s="308">
        <v>571</v>
      </c>
      <c r="T78" s="308">
        <v>574</v>
      </c>
      <c r="U78" s="308">
        <v>577</v>
      </c>
      <c r="V78" s="308">
        <v>579</v>
      </c>
      <c r="W78" s="308">
        <v>585</v>
      </c>
      <c r="X78" s="308">
        <v>606</v>
      </c>
      <c r="Y78" s="308">
        <v>606</v>
      </c>
      <c r="Z78" s="308">
        <v>650</v>
      </c>
      <c r="AA78" s="308">
        <v>667</v>
      </c>
      <c r="AB78" s="308">
        <v>667</v>
      </c>
      <c r="AC78" s="296"/>
      <c r="AD78" s="287"/>
    </row>
    <row r="79" spans="1:30" ht="12.75" x14ac:dyDescent="0.2">
      <c r="A79" s="222" t="s">
        <v>1246</v>
      </c>
      <c r="B79" s="289"/>
      <c r="C79" s="290"/>
      <c r="D79" s="290"/>
      <c r="E79" s="290"/>
      <c r="F79" s="290"/>
      <c r="G79" s="290"/>
      <c r="H79" s="290"/>
      <c r="I79" s="290"/>
      <c r="J79" s="290"/>
      <c r="K79" s="290"/>
      <c r="L79" s="290"/>
      <c r="M79" s="290"/>
      <c r="N79" s="290"/>
      <c r="O79" s="290"/>
      <c r="P79" s="290"/>
      <c r="Q79" s="290"/>
      <c r="R79" s="290"/>
      <c r="S79" s="290"/>
      <c r="T79" s="290"/>
      <c r="U79" s="290"/>
      <c r="V79" s="290"/>
      <c r="W79" s="290"/>
      <c r="X79" s="290"/>
      <c r="Y79" s="290"/>
      <c r="Z79" s="290"/>
      <c r="AA79" s="290"/>
      <c r="AB79" s="291"/>
      <c r="AC79" s="309"/>
      <c r="AD79" s="287"/>
    </row>
    <row r="80" spans="1:30" x14ac:dyDescent="0.2">
      <c r="A80" s="310" t="s">
        <v>1247</v>
      </c>
      <c r="B80" s="292"/>
      <c r="C80" s="293"/>
      <c r="D80" s="293"/>
      <c r="E80" s="293"/>
      <c r="F80" s="293"/>
      <c r="G80" s="293"/>
      <c r="H80" s="293"/>
      <c r="I80" s="293"/>
      <c r="J80" s="293"/>
      <c r="K80" s="293"/>
      <c r="L80" s="293"/>
      <c r="M80" s="293"/>
      <c r="N80" s="293"/>
      <c r="O80" s="293"/>
      <c r="P80" s="293"/>
      <c r="Q80" s="293"/>
      <c r="R80" s="293"/>
      <c r="S80" s="293"/>
      <c r="T80" s="293"/>
      <c r="U80" s="293"/>
      <c r="V80" s="293"/>
      <c r="W80" s="293"/>
      <c r="X80" s="293"/>
      <c r="Y80" s="293"/>
      <c r="Z80" s="293"/>
      <c r="AA80" s="293"/>
      <c r="AB80" s="294"/>
      <c r="AC80" s="287"/>
      <c r="AD80" s="287"/>
    </row>
    <row r="81" spans="1:30" x14ac:dyDescent="0.2">
      <c r="A81" s="311" t="s">
        <v>1185</v>
      </c>
      <c r="B81" s="311" t="s">
        <v>1357</v>
      </c>
      <c r="C81" s="285">
        <v>291925</v>
      </c>
      <c r="D81" s="285">
        <v>293862</v>
      </c>
      <c r="E81" s="285">
        <v>291468</v>
      </c>
      <c r="F81" s="285">
        <v>293263</v>
      </c>
      <c r="G81" s="285">
        <v>301545</v>
      </c>
      <c r="H81" s="285">
        <v>296947</v>
      </c>
      <c r="I81" s="285">
        <v>284672</v>
      </c>
      <c r="J81" s="285">
        <v>294370</v>
      </c>
      <c r="K81" s="285">
        <v>302709</v>
      </c>
      <c r="L81" s="285">
        <v>296059</v>
      </c>
      <c r="M81" s="285">
        <v>298957</v>
      </c>
      <c r="N81" s="285">
        <v>289994</v>
      </c>
      <c r="O81" s="285">
        <v>302999</v>
      </c>
      <c r="P81" s="285">
        <v>301493</v>
      </c>
      <c r="Q81" s="285">
        <v>303001</v>
      </c>
      <c r="R81" s="285">
        <v>300468</v>
      </c>
      <c r="S81" s="285">
        <v>300324</v>
      </c>
      <c r="T81" s="285">
        <v>301066</v>
      </c>
      <c r="U81" s="285">
        <v>303181</v>
      </c>
      <c r="V81" s="285">
        <v>304573</v>
      </c>
      <c r="W81" s="285">
        <v>304805</v>
      </c>
      <c r="X81" s="285">
        <v>305057</v>
      </c>
      <c r="Y81" s="285">
        <v>303341</v>
      </c>
      <c r="Z81" s="285">
        <v>302827</v>
      </c>
      <c r="AA81" s="285">
        <v>301834</v>
      </c>
      <c r="AB81" s="285">
        <v>301257</v>
      </c>
      <c r="AC81" s="287"/>
      <c r="AD81" s="287"/>
    </row>
    <row r="82" spans="1:30" ht="24" x14ac:dyDescent="0.2">
      <c r="A82" s="312" t="s">
        <v>1248</v>
      </c>
      <c r="B82" s="301"/>
      <c r="C82" s="305"/>
      <c r="D82" s="305"/>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6"/>
      <c r="AC82" s="287"/>
      <c r="AD82" s="287"/>
    </row>
    <row r="83" spans="1:30" x14ac:dyDescent="0.2">
      <c r="A83" s="313" t="s">
        <v>1393</v>
      </c>
      <c r="B83" s="313" t="s">
        <v>1356</v>
      </c>
      <c r="C83" s="269">
        <v>1732.8914637503442</v>
      </c>
      <c r="D83" s="269">
        <v>1744.3896594008859</v>
      </c>
      <c r="E83" s="269">
        <v>1730.1786731399684</v>
      </c>
      <c r="F83" s="269">
        <v>1717.1124271852332</v>
      </c>
      <c r="G83" s="269">
        <v>1704.046181230498</v>
      </c>
      <c r="H83" s="269">
        <v>1690.9799352757627</v>
      </c>
      <c r="I83" s="269">
        <v>1677.9136893210275</v>
      </c>
      <c r="J83" s="269">
        <v>1664.8474433662923</v>
      </c>
      <c r="K83" s="269">
        <v>1651.7811974115571</v>
      </c>
      <c r="L83" s="269">
        <v>1638.7149514568218</v>
      </c>
      <c r="M83" s="269">
        <v>1625.6487055020866</v>
      </c>
      <c r="N83" s="269">
        <v>1612.5824595473514</v>
      </c>
      <c r="O83" s="269">
        <v>1599.5162135926162</v>
      </c>
      <c r="P83" s="269">
        <v>1586.4499676378809</v>
      </c>
      <c r="Q83" s="269">
        <v>1573.3837216831457</v>
      </c>
      <c r="R83" s="269">
        <v>1560.3174757284105</v>
      </c>
      <c r="S83" s="269">
        <v>1547.2512297736753</v>
      </c>
      <c r="T83" s="269">
        <v>1534.1849838189401</v>
      </c>
      <c r="U83" s="269">
        <v>1521.1187378642048</v>
      </c>
      <c r="V83" s="269">
        <v>1508.0524919094696</v>
      </c>
      <c r="W83" s="269">
        <v>1494.9862459547344</v>
      </c>
      <c r="X83" s="269">
        <v>1481.92</v>
      </c>
      <c r="Y83" s="269">
        <v>1587</v>
      </c>
      <c r="Z83" s="269">
        <v>1714.24</v>
      </c>
      <c r="AA83" s="269">
        <v>1837.44</v>
      </c>
      <c r="AB83" s="269">
        <v>1833.92</v>
      </c>
      <c r="AC83" s="287"/>
      <c r="AD83" s="287"/>
    </row>
    <row r="84" spans="1:30" x14ac:dyDescent="0.2">
      <c r="A84" s="314" t="s">
        <v>1251</v>
      </c>
      <c r="B84" s="314" t="s">
        <v>1355</v>
      </c>
      <c r="C84" s="271">
        <v>6967.1853584357004</v>
      </c>
      <c r="D84" s="271">
        <v>7013.4144859146418</v>
      </c>
      <c r="E84" s="271">
        <v>6956.278434709383</v>
      </c>
      <c r="F84" s="271">
        <v>6834.3645129739134</v>
      </c>
      <c r="G84" s="271">
        <v>6712.4505912384438</v>
      </c>
      <c r="H84" s="271">
        <v>6590.5366695029743</v>
      </c>
      <c r="I84" s="271">
        <v>6468.6227477675047</v>
      </c>
      <c r="J84" s="271">
        <v>6346.7088260320352</v>
      </c>
      <c r="K84" s="271">
        <v>6224.7949042965656</v>
      </c>
      <c r="L84" s="271">
        <v>6102.8809825610961</v>
      </c>
      <c r="M84" s="271">
        <v>5980.9670608256265</v>
      </c>
      <c r="N84" s="271">
        <v>5859.0531390901569</v>
      </c>
      <c r="O84" s="271">
        <v>5737.1392173546874</v>
      </c>
      <c r="P84" s="271">
        <v>5615.2252956192178</v>
      </c>
      <c r="Q84" s="271">
        <v>5493.3113738837483</v>
      </c>
      <c r="R84" s="271">
        <v>5371.3974521482787</v>
      </c>
      <c r="S84" s="271">
        <v>5249.4835304128092</v>
      </c>
      <c r="T84" s="271">
        <v>5127.5696086773396</v>
      </c>
      <c r="U84" s="271">
        <v>5005.65568694187</v>
      </c>
      <c r="V84" s="271">
        <v>4883.7417652064005</v>
      </c>
      <c r="W84" s="271">
        <v>4761.8278434709309</v>
      </c>
      <c r="X84" s="271">
        <v>4639.9139217354614</v>
      </c>
      <c r="Y84" s="271">
        <v>4518</v>
      </c>
      <c r="Z84" s="271">
        <v>4880.237126654064</v>
      </c>
      <c r="AA84" s="271">
        <v>5230.9728544423442</v>
      </c>
      <c r="AB84" s="271">
        <v>5220.9518336483934</v>
      </c>
      <c r="AC84" s="287"/>
      <c r="AD84" s="287"/>
    </row>
    <row r="85" spans="1:30" ht="24" x14ac:dyDescent="0.2">
      <c r="A85" s="314" t="s">
        <v>1394</v>
      </c>
      <c r="B85" s="314" t="s">
        <v>1355</v>
      </c>
      <c r="C85" s="271">
        <v>698.77302284710015</v>
      </c>
      <c r="D85" s="271">
        <v>703.40956766256591</v>
      </c>
      <c r="E85" s="271">
        <v>697.67911423550083</v>
      </c>
      <c r="F85" s="271">
        <v>756.79515852372583</v>
      </c>
      <c r="G85" s="271">
        <v>815.91120281195083</v>
      </c>
      <c r="H85" s="271">
        <v>875.02724710017583</v>
      </c>
      <c r="I85" s="271">
        <v>934.14329138840083</v>
      </c>
      <c r="J85" s="271">
        <v>993.25933567662582</v>
      </c>
      <c r="K85" s="271">
        <v>1052.3753799648507</v>
      </c>
      <c r="L85" s="271">
        <v>1111.4914242530756</v>
      </c>
      <c r="M85" s="271">
        <v>1170.6074685413005</v>
      </c>
      <c r="N85" s="271">
        <v>1229.7235128295254</v>
      </c>
      <c r="O85" s="271">
        <v>1288.8395571177502</v>
      </c>
      <c r="P85" s="271">
        <v>1347.9556014059751</v>
      </c>
      <c r="Q85" s="271">
        <v>1407.0716456942</v>
      </c>
      <c r="R85" s="271">
        <v>1466.1876899824249</v>
      </c>
      <c r="S85" s="271">
        <v>1525.3037342706498</v>
      </c>
      <c r="T85" s="271">
        <v>1584.4197785588747</v>
      </c>
      <c r="U85" s="271">
        <v>1643.5358228470996</v>
      </c>
      <c r="V85" s="271">
        <v>1702.6518671353244</v>
      </c>
      <c r="W85" s="271">
        <v>1761.7679114235493</v>
      </c>
      <c r="X85" s="271">
        <v>1820.8839557117742</v>
      </c>
      <c r="Y85" s="271">
        <v>1880</v>
      </c>
      <c r="Z85" s="271">
        <v>2030.7316950220541</v>
      </c>
      <c r="AA85" s="271">
        <v>2176.677504725898</v>
      </c>
      <c r="AB85" s="271">
        <v>2172.5076244486449</v>
      </c>
    </row>
    <row r="86" spans="1:30" ht="24" x14ac:dyDescent="0.2">
      <c r="A86" s="314" t="s">
        <v>1252</v>
      </c>
      <c r="B86" s="314" t="s">
        <v>1355</v>
      </c>
      <c r="C86" s="271">
        <v>698.77302284710015</v>
      </c>
      <c r="D86" s="271">
        <v>703.40956766256591</v>
      </c>
      <c r="E86" s="271">
        <v>697.67911423550083</v>
      </c>
      <c r="F86" s="271">
        <v>697.39521108668453</v>
      </c>
      <c r="G86" s="271">
        <v>697.11130793786822</v>
      </c>
      <c r="H86" s="271">
        <v>696.82740478905191</v>
      </c>
      <c r="I86" s="271">
        <v>696.5435016402356</v>
      </c>
      <c r="J86" s="271">
        <v>696.2595984914193</v>
      </c>
      <c r="K86" s="271">
        <v>695.97569534260299</v>
      </c>
      <c r="L86" s="271">
        <v>695.69179219378668</v>
      </c>
      <c r="M86" s="271">
        <v>695.40788904497037</v>
      </c>
      <c r="N86" s="271">
        <v>695.12398589615407</v>
      </c>
      <c r="O86" s="271">
        <v>694.84008274733776</v>
      </c>
      <c r="P86" s="271">
        <v>694.55617959852145</v>
      </c>
      <c r="Q86" s="271">
        <v>694.27227644970515</v>
      </c>
      <c r="R86" s="271">
        <v>693.98837330088884</v>
      </c>
      <c r="S86" s="271">
        <v>693.70447015207253</v>
      </c>
      <c r="T86" s="271">
        <v>693.42056700325622</v>
      </c>
      <c r="U86" s="271">
        <v>693.13666385443992</v>
      </c>
      <c r="V86" s="271">
        <v>692.85276070562361</v>
      </c>
      <c r="W86" s="271">
        <v>692.5688575568073</v>
      </c>
      <c r="X86" s="271">
        <v>692.28495440799088</v>
      </c>
      <c r="Y86" s="271">
        <v>750.96418732782365</v>
      </c>
      <c r="Z86" s="271">
        <v>822.08554658887726</v>
      </c>
      <c r="AA86" s="271">
        <v>870.67100189035921</v>
      </c>
      <c r="AB86" s="271">
        <v>838.08346561127496</v>
      </c>
    </row>
    <row r="87" spans="1:30" ht="24" x14ac:dyDescent="0.2">
      <c r="A87" s="315" t="s">
        <v>1253</v>
      </c>
      <c r="B87" s="315" t="s">
        <v>1355</v>
      </c>
      <c r="C87" s="273">
        <v>0</v>
      </c>
      <c r="D87" s="273">
        <v>0</v>
      </c>
      <c r="E87" s="273">
        <v>0</v>
      </c>
      <c r="F87" s="273">
        <v>59.399947437041227</v>
      </c>
      <c r="G87" s="273">
        <v>118.79989487408245</v>
      </c>
      <c r="H87" s="273">
        <v>178.19984231112369</v>
      </c>
      <c r="I87" s="273">
        <v>237.59978974816491</v>
      </c>
      <c r="J87" s="273">
        <v>296.99973718520613</v>
      </c>
      <c r="K87" s="273">
        <v>356.39968462224738</v>
      </c>
      <c r="L87" s="273">
        <v>415.79963205928863</v>
      </c>
      <c r="M87" s="273">
        <v>475.19957949632987</v>
      </c>
      <c r="N87" s="273">
        <v>534.59952693337107</v>
      </c>
      <c r="O87" s="273">
        <v>593.99947437041226</v>
      </c>
      <c r="P87" s="273">
        <v>653.39942180745345</v>
      </c>
      <c r="Q87" s="273">
        <v>712.79936924449464</v>
      </c>
      <c r="R87" s="273">
        <v>772.19931668153583</v>
      </c>
      <c r="S87" s="273">
        <v>831.59926411857703</v>
      </c>
      <c r="T87" s="273">
        <v>890.99921155561822</v>
      </c>
      <c r="U87" s="273">
        <v>950.39915899265941</v>
      </c>
      <c r="V87" s="273">
        <v>1009.7991064297006</v>
      </c>
      <c r="W87" s="273">
        <v>1069.1990538667419</v>
      </c>
      <c r="X87" s="273">
        <v>1128.5990013037833</v>
      </c>
      <c r="Y87" s="273">
        <v>1129.0358126721762</v>
      </c>
      <c r="Z87" s="273">
        <v>1208.6461484331769</v>
      </c>
      <c r="AA87" s="273">
        <v>1306.0065028355386</v>
      </c>
      <c r="AB87" s="273">
        <v>1334.4241588373698</v>
      </c>
    </row>
    <row r="88" spans="1:30" x14ac:dyDescent="0.2">
      <c r="A88" s="312" t="s">
        <v>1254</v>
      </c>
      <c r="B88" s="301"/>
      <c r="C88" s="305"/>
      <c r="D88" s="305"/>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6"/>
    </row>
    <row r="89" spans="1:30" x14ac:dyDescent="0.2">
      <c r="A89" s="313" t="s">
        <v>1393</v>
      </c>
      <c r="B89" s="313" t="s">
        <v>1356</v>
      </c>
      <c r="C89" s="269">
        <v>361.41312838947863</v>
      </c>
      <c r="D89" s="269">
        <v>374.93816695504222</v>
      </c>
      <c r="E89" s="269">
        <v>386</v>
      </c>
      <c r="F89" s="269">
        <v>382.6653846153846</v>
      </c>
      <c r="G89" s="269">
        <v>379.33076923076919</v>
      </c>
      <c r="H89" s="269">
        <v>375.99615384615379</v>
      </c>
      <c r="I89" s="269">
        <v>372.66153846153838</v>
      </c>
      <c r="J89" s="269">
        <v>369.32692307692298</v>
      </c>
      <c r="K89" s="269">
        <v>365.99230769230758</v>
      </c>
      <c r="L89" s="269">
        <v>362.65769230769217</v>
      </c>
      <c r="M89" s="269">
        <v>359.32307692307677</v>
      </c>
      <c r="N89" s="269">
        <v>355.98846153846137</v>
      </c>
      <c r="O89" s="269">
        <v>352.65384615384596</v>
      </c>
      <c r="P89" s="269">
        <v>349.31923076923056</v>
      </c>
      <c r="Q89" s="269">
        <v>345.98461538461515</v>
      </c>
      <c r="R89" s="269">
        <v>342.65</v>
      </c>
      <c r="S89" s="269">
        <v>345.32</v>
      </c>
      <c r="T89" s="269">
        <v>342.65</v>
      </c>
      <c r="U89" s="269">
        <v>349.77</v>
      </c>
      <c r="V89" s="269">
        <v>350.66</v>
      </c>
      <c r="W89" s="269">
        <v>351.55</v>
      </c>
      <c r="X89" s="269">
        <v>354.22</v>
      </c>
      <c r="Y89" s="269">
        <v>354.22</v>
      </c>
      <c r="Z89" s="269">
        <v>356</v>
      </c>
      <c r="AA89" s="269">
        <v>356</v>
      </c>
      <c r="AB89" s="269">
        <v>348.88</v>
      </c>
    </row>
    <row r="90" spans="1:30" x14ac:dyDescent="0.2">
      <c r="A90" s="314" t="s">
        <v>1251</v>
      </c>
      <c r="B90" s="314" t="s">
        <v>1355</v>
      </c>
      <c r="C90" s="271" t="s">
        <v>1234</v>
      </c>
      <c r="D90" s="271" t="s">
        <v>1234</v>
      </c>
      <c r="E90" s="271" t="s">
        <v>1234</v>
      </c>
      <c r="F90" s="271" t="s">
        <v>1234</v>
      </c>
      <c r="G90" s="271" t="s">
        <v>1234</v>
      </c>
      <c r="H90" s="271" t="s">
        <v>1234</v>
      </c>
      <c r="I90" s="271" t="s">
        <v>1234</v>
      </c>
      <c r="J90" s="271" t="s">
        <v>1234</v>
      </c>
      <c r="K90" s="271" t="s">
        <v>1234</v>
      </c>
      <c r="L90" s="271" t="s">
        <v>1234</v>
      </c>
      <c r="M90" s="271" t="s">
        <v>1234</v>
      </c>
      <c r="N90" s="271" t="s">
        <v>1234</v>
      </c>
      <c r="O90" s="271" t="s">
        <v>1234</v>
      </c>
      <c r="P90" s="271" t="s">
        <v>1234</v>
      </c>
      <c r="Q90" s="271" t="s">
        <v>1234</v>
      </c>
      <c r="R90" s="271" t="s">
        <v>1234</v>
      </c>
      <c r="S90" s="271" t="s">
        <v>1234</v>
      </c>
      <c r="T90" s="271" t="s">
        <v>1234</v>
      </c>
      <c r="U90" s="271" t="s">
        <v>1234</v>
      </c>
      <c r="V90" s="271" t="s">
        <v>1234</v>
      </c>
      <c r="W90" s="271" t="s">
        <v>1234</v>
      </c>
      <c r="X90" s="271" t="s">
        <v>1234</v>
      </c>
      <c r="Y90" s="271">
        <v>1512</v>
      </c>
      <c r="Z90" s="271">
        <v>1519.5979899497486</v>
      </c>
      <c r="AA90" s="271">
        <v>1519.5979899497486</v>
      </c>
      <c r="AB90" s="271">
        <v>1489.2060301507536</v>
      </c>
    </row>
    <row r="91" spans="1:30" x14ac:dyDescent="0.2">
      <c r="A91" s="314" t="s">
        <v>1255</v>
      </c>
      <c r="B91" s="314" t="s">
        <v>1350</v>
      </c>
      <c r="C91" s="271">
        <v>16852.525642181932</v>
      </c>
      <c r="D91" s="271">
        <v>17483.191883481359</v>
      </c>
      <c r="E91" s="271">
        <v>17999</v>
      </c>
      <c r="F91" s="271">
        <v>19021.282979020543</v>
      </c>
      <c r="G91" s="271">
        <v>18603.961415886559</v>
      </c>
      <c r="H91" s="271">
        <v>18614.000804253246</v>
      </c>
      <c r="I91" s="271">
        <v>20114.904715819506</v>
      </c>
      <c r="J91" s="271">
        <v>19126.155443048232</v>
      </c>
      <c r="K91" s="271">
        <v>17347.403015523239</v>
      </c>
      <c r="L91" s="271">
        <v>18135.648509775452</v>
      </c>
      <c r="M91" s="271">
        <v>19173.76962174298</v>
      </c>
      <c r="N91" s="271">
        <v>18310.907985283789</v>
      </c>
      <c r="O91" s="271">
        <v>18761.751741606993</v>
      </c>
      <c r="P91" s="271">
        <v>19492.957698667291</v>
      </c>
      <c r="Q91" s="271">
        <v>18684.917416496359</v>
      </c>
      <c r="R91" s="271">
        <v>18523.650146639757</v>
      </c>
      <c r="S91" s="271">
        <v>16764.803799947338</v>
      </c>
      <c r="T91" s="271">
        <v>18121.556524269923</v>
      </c>
      <c r="U91" s="271">
        <v>18773.963260637116</v>
      </c>
      <c r="V91" s="271">
        <v>18340.304665287156</v>
      </c>
      <c r="W91" s="271">
        <v>18351.817725340694</v>
      </c>
      <c r="X91" s="271">
        <v>18090.85503079382</v>
      </c>
      <c r="Y91" s="271">
        <v>15926.399740728542</v>
      </c>
      <c r="Z91" s="271">
        <v>18793.151694059681</v>
      </c>
      <c r="AA91" s="271">
        <v>19522.312164117127</v>
      </c>
      <c r="AB91" s="271">
        <v>17691.735615604477</v>
      </c>
    </row>
    <row r="92" spans="1:30" x14ac:dyDescent="0.2">
      <c r="A92" s="314" t="s">
        <v>1256</v>
      </c>
      <c r="B92" s="314" t="s">
        <v>1356</v>
      </c>
      <c r="C92" s="271">
        <v>2598.6601871196294</v>
      </c>
      <c r="D92" s="271">
        <v>2615.902988463984</v>
      </c>
      <c r="E92" s="271">
        <v>2594.5920610409662</v>
      </c>
      <c r="F92" s="271">
        <v>2610.570805704423</v>
      </c>
      <c r="G92" s="271">
        <v>2684.2955763466252</v>
      </c>
      <c r="H92" s="271">
        <v>2643.3650649468614</v>
      </c>
      <c r="I92" s="271">
        <v>2534.0953765101281</v>
      </c>
      <c r="J92" s="271">
        <v>2620.4251067308564</v>
      </c>
      <c r="K92" s="271">
        <v>2694.6572804069392</v>
      </c>
      <c r="L92" s="271">
        <v>2635.4602597874464</v>
      </c>
      <c r="M92" s="271">
        <v>2661.2576982468886</v>
      </c>
      <c r="N92" s="271">
        <v>2581.4707966209462</v>
      </c>
      <c r="O92" s="271">
        <v>2697.238804614406</v>
      </c>
      <c r="P92" s="271">
        <v>2683.8326823508032</v>
      </c>
      <c r="Q92" s="271">
        <v>2697.2566082296303</v>
      </c>
      <c r="R92" s="271">
        <v>2674.7083295485509</v>
      </c>
      <c r="S92" s="271">
        <v>2673.4264692524293</v>
      </c>
      <c r="T92" s="271">
        <v>2680.0316105004995</v>
      </c>
      <c r="U92" s="271">
        <v>2698.8589335997817</v>
      </c>
      <c r="V92" s="271">
        <v>2711.2502497956216</v>
      </c>
      <c r="W92" s="271">
        <v>2713.315469161595</v>
      </c>
      <c r="X92" s="271">
        <v>2715.5587246798073</v>
      </c>
      <c r="Y92" s="271">
        <v>2700.2832228176944</v>
      </c>
      <c r="Z92" s="271">
        <v>2695.7076937051502</v>
      </c>
      <c r="AA92" s="271">
        <v>2686.8681987464797</v>
      </c>
      <c r="AB92" s="271">
        <v>2681.7318557543827</v>
      </c>
    </row>
    <row r="93" spans="1:30" x14ac:dyDescent="0.2">
      <c r="A93" s="315" t="s">
        <v>1257</v>
      </c>
      <c r="B93" s="315" t="s">
        <v>1356</v>
      </c>
      <c r="C93" s="273">
        <v>77052.9262421655</v>
      </c>
      <c r="D93" s="273">
        <v>77564.192896720866</v>
      </c>
      <c r="E93" s="273">
        <v>76932.302152784076</v>
      </c>
      <c r="F93" s="273">
        <v>77406.088236897063</v>
      </c>
      <c r="G93" s="273">
        <v>79592.10291579616</v>
      </c>
      <c r="H93" s="273">
        <v>78378.471486965209</v>
      </c>
      <c r="I93" s="273">
        <v>75138.513725133977</v>
      </c>
      <c r="J93" s="273">
        <v>77698.278317740027</v>
      </c>
      <c r="K93" s="273">
        <v>79899.338014351873</v>
      </c>
      <c r="L93" s="273">
        <v>78144.085947860833</v>
      </c>
      <c r="M93" s="273">
        <v>78909.006322100089</v>
      </c>
      <c r="N93" s="273">
        <v>76543.243273685162</v>
      </c>
      <c r="O93" s="273">
        <v>79975.882841311643</v>
      </c>
      <c r="P93" s="273">
        <v>79578.377636479228</v>
      </c>
      <c r="Q93" s="273">
        <v>79976.41073666999</v>
      </c>
      <c r="R93" s="273">
        <v>79307.83126532835</v>
      </c>
      <c r="S93" s="273">
        <v>79269.822799527639</v>
      </c>
      <c r="T93" s="273">
        <v>79465.671977472972</v>
      </c>
      <c r="U93" s="273">
        <v>80023.921318920868</v>
      </c>
      <c r="V93" s="273">
        <v>80391.336488327725</v>
      </c>
      <c r="W93" s="273">
        <v>80452.572349895534</v>
      </c>
      <c r="X93" s="273">
        <v>80519.087165046774</v>
      </c>
      <c r="Y93" s="273">
        <v>80066.152947588329</v>
      </c>
      <c r="Z93" s="273">
        <v>79930.48384049414</v>
      </c>
      <c r="AA93" s="273">
        <v>79668.383795076748</v>
      </c>
      <c r="AB93" s="273">
        <v>79516.085984194739</v>
      </c>
    </row>
    <row r="94" spans="1:30" x14ac:dyDescent="0.2">
      <c r="A94" s="316" t="s">
        <v>1186</v>
      </c>
      <c r="B94" s="317"/>
      <c r="C94" s="318"/>
      <c r="D94" s="318"/>
      <c r="E94" s="318"/>
      <c r="F94" s="318"/>
      <c r="G94" s="318"/>
      <c r="H94" s="318"/>
      <c r="I94" s="318"/>
      <c r="J94" s="318"/>
      <c r="K94" s="318"/>
      <c r="L94" s="318"/>
      <c r="M94" s="318"/>
      <c r="N94" s="318"/>
      <c r="O94" s="318"/>
      <c r="P94" s="318"/>
      <c r="Q94" s="318"/>
      <c r="R94" s="318"/>
      <c r="S94" s="318"/>
      <c r="T94" s="318"/>
      <c r="U94" s="318"/>
      <c r="V94" s="318"/>
      <c r="W94" s="318"/>
      <c r="X94" s="318"/>
      <c r="Y94" s="318"/>
      <c r="Z94" s="318"/>
      <c r="AA94" s="318"/>
      <c r="AB94" s="319"/>
    </row>
    <row r="95" spans="1:30" x14ac:dyDescent="0.2">
      <c r="A95" s="312" t="s">
        <v>1258</v>
      </c>
      <c r="B95" s="301"/>
      <c r="C95" s="305"/>
      <c r="D95" s="305"/>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6"/>
    </row>
    <row r="96" spans="1:30" ht="24" x14ac:dyDescent="0.2">
      <c r="A96" s="313" t="s">
        <v>1259</v>
      </c>
      <c r="B96" s="313" t="s">
        <v>1369</v>
      </c>
      <c r="C96" s="269">
        <v>1104607.4030871643</v>
      </c>
      <c r="D96" s="269">
        <v>1111936.766929863</v>
      </c>
      <c r="E96" s="269">
        <v>1102878.1726916488</v>
      </c>
      <c r="F96" s="269">
        <v>1094549.2771352462</v>
      </c>
      <c r="G96" s="269">
        <v>1086220.3815788438</v>
      </c>
      <c r="H96" s="269">
        <v>1077891.4860224412</v>
      </c>
      <c r="I96" s="269">
        <v>1069562.5904660386</v>
      </c>
      <c r="J96" s="269">
        <v>1061233.6949096359</v>
      </c>
      <c r="K96" s="269">
        <v>1052904.7993532333</v>
      </c>
      <c r="L96" s="269">
        <v>1044575.9037968307</v>
      </c>
      <c r="M96" s="269">
        <v>1036247.0082404281</v>
      </c>
      <c r="N96" s="269">
        <v>1027918.1126840254</v>
      </c>
      <c r="O96" s="269">
        <v>1019589.2171276229</v>
      </c>
      <c r="P96" s="269">
        <v>1011260.3215712203</v>
      </c>
      <c r="Q96" s="269">
        <v>1002931.4260148177</v>
      </c>
      <c r="R96" s="269">
        <v>994602.53045841504</v>
      </c>
      <c r="S96" s="269">
        <v>986273.63490201253</v>
      </c>
      <c r="T96" s="269">
        <v>977944.73934560991</v>
      </c>
      <c r="U96" s="269">
        <v>969615.84378920717</v>
      </c>
      <c r="V96" s="269">
        <v>961286.94823280454</v>
      </c>
      <c r="W96" s="269">
        <v>952958.05267640215</v>
      </c>
      <c r="X96" s="269">
        <v>944629.15711999999</v>
      </c>
      <c r="Y96" s="269">
        <v>1011610.9320000001</v>
      </c>
      <c r="Z96" s="269">
        <v>1092718.2886399999</v>
      </c>
      <c r="AA96" s="269">
        <v>1171250.40384</v>
      </c>
      <c r="AB96" s="269">
        <v>1169006.6291199999</v>
      </c>
    </row>
    <row r="97" spans="1:28" x14ac:dyDescent="0.2">
      <c r="A97" s="315" t="s">
        <v>1260</v>
      </c>
      <c r="B97" s="315" t="s">
        <v>1369</v>
      </c>
      <c r="C97" s="273">
        <v>1872607.8326444861</v>
      </c>
      <c r="D97" s="273">
        <v>1942685.7882172544</v>
      </c>
      <c r="E97" s="273">
        <v>2000001.0144120001</v>
      </c>
      <c r="F97" s="273">
        <v>2113594.3804355129</v>
      </c>
      <c r="G97" s="273">
        <v>2067222.718142943</v>
      </c>
      <c r="H97" s="273">
        <v>2068338.2682800309</v>
      </c>
      <c r="I97" s="273">
        <v>2235114.7195088468</v>
      </c>
      <c r="J97" s="273">
        <v>2125247.529745989</v>
      </c>
      <c r="K97" s="273">
        <v>1927597.2903194772</v>
      </c>
      <c r="L97" s="273">
        <v>2015185.0334224338</v>
      </c>
      <c r="M97" s="273">
        <v>2130538.2906599231</v>
      </c>
      <c r="N97" s="273">
        <v>2034659.4002651465</v>
      </c>
      <c r="O97" s="273">
        <v>2084755.9595177562</v>
      </c>
      <c r="P97" s="273">
        <v>2166005.6209358736</v>
      </c>
      <c r="Q97" s="273">
        <v>2076218.3336406006</v>
      </c>
      <c r="R97" s="273">
        <v>2058298.7434797771</v>
      </c>
      <c r="S97" s="273">
        <v>1862860.4148182024</v>
      </c>
      <c r="T97" s="273">
        <v>2013619.1694685395</v>
      </c>
      <c r="U97" s="273">
        <v>2086112.871037716</v>
      </c>
      <c r="V97" s="273">
        <v>2037925.8811711455</v>
      </c>
      <c r="W97" s="273">
        <v>2039205.1817870722</v>
      </c>
      <c r="X97" s="273">
        <v>2010207.701159402</v>
      </c>
      <c r="Y97" s="273">
        <v>1769699.1853651926</v>
      </c>
      <c r="Z97" s="273">
        <v>2088245.0387309273</v>
      </c>
      <c r="AA97" s="273">
        <v>2169267.4110729476</v>
      </c>
      <c r="AB97" s="273">
        <v>1965858.6131406114</v>
      </c>
    </row>
    <row r="98" spans="1:28" x14ac:dyDescent="0.2">
      <c r="A98" s="312" t="s">
        <v>1239</v>
      </c>
      <c r="B98" s="301"/>
      <c r="C98" s="305"/>
      <c r="D98" s="305"/>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6"/>
    </row>
    <row r="99" spans="1:28" x14ac:dyDescent="0.2">
      <c r="A99" s="313" t="s">
        <v>1261</v>
      </c>
      <c r="B99" s="313" t="s">
        <v>1371</v>
      </c>
      <c r="C99" s="269">
        <v>38274.642310735275</v>
      </c>
      <c r="D99" s="269">
        <v>39050.195867873343</v>
      </c>
      <c r="E99" s="269">
        <v>40380</v>
      </c>
      <c r="F99" s="269">
        <v>41501.105285149046</v>
      </c>
      <c r="G99" s="269">
        <v>42413.889008963117</v>
      </c>
      <c r="H99" s="269">
        <v>44329.843316972692</v>
      </c>
      <c r="I99" s="269">
        <v>45132.705168243097</v>
      </c>
      <c r="J99" s="269">
        <v>45388.744380377764</v>
      </c>
      <c r="K99" s="269">
        <v>44407.829656656024</v>
      </c>
      <c r="L99" s="269">
        <v>44725.61795229913</v>
      </c>
      <c r="M99" s="269">
        <v>46578.050533146052</v>
      </c>
      <c r="N99" s="269">
        <v>44393.193369186862</v>
      </c>
      <c r="O99" s="269">
        <v>45927.075098224122</v>
      </c>
      <c r="P99" s="269">
        <v>44468.806202896267</v>
      </c>
      <c r="Q99" s="269">
        <v>44693.327092219835</v>
      </c>
      <c r="R99" s="269">
        <v>43937.999239478602</v>
      </c>
      <c r="S99" s="269">
        <v>43287.321241386046</v>
      </c>
      <c r="T99" s="269">
        <v>46120.674534615675</v>
      </c>
      <c r="U99" s="269">
        <v>46466.020651932529</v>
      </c>
      <c r="V99" s="269">
        <v>45733.407790341298</v>
      </c>
      <c r="W99" s="269">
        <v>48082.959120294661</v>
      </c>
      <c r="X99" s="269">
        <v>48861.48504950606</v>
      </c>
      <c r="Y99" s="269">
        <v>50979.474821027325</v>
      </c>
      <c r="Z99" s="269">
        <v>52211.142765446384</v>
      </c>
      <c r="AA99" s="269">
        <v>53085.487270560719</v>
      </c>
      <c r="AB99" s="269">
        <v>54508.792366785659</v>
      </c>
    </row>
    <row r="100" spans="1:28" x14ac:dyDescent="0.2">
      <c r="A100" s="314" t="s">
        <v>1262</v>
      </c>
      <c r="B100" s="314" t="s">
        <v>1371</v>
      </c>
      <c r="C100" s="271">
        <v>9132.6443453178399</v>
      </c>
      <c r="D100" s="271">
        <v>9317.6978005685905</v>
      </c>
      <c r="E100" s="271">
        <v>9635</v>
      </c>
      <c r="F100" s="271">
        <v>9902.5049386431674</v>
      </c>
      <c r="G100" s="271">
        <v>10120.302639954423</v>
      </c>
      <c r="H100" s="271">
        <v>10577.465090614956</v>
      </c>
      <c r="I100" s="271">
        <v>10769.034529371527</v>
      </c>
      <c r="J100" s="271">
        <v>10830.127590513614</v>
      </c>
      <c r="K100" s="271">
        <v>10596.073272458663</v>
      </c>
      <c r="L100" s="271">
        <v>10671.900172620162</v>
      </c>
      <c r="M100" s="271">
        <v>11113.905816910901</v>
      </c>
      <c r="N100" s="271">
        <v>10592.580933930545</v>
      </c>
      <c r="O100" s="271">
        <v>10958.577725888792</v>
      </c>
      <c r="P100" s="271">
        <v>10610.622777734163</v>
      </c>
      <c r="Q100" s="271">
        <v>10664.195307913276</v>
      </c>
      <c r="R100" s="271">
        <v>10483.96787202517</v>
      </c>
      <c r="S100" s="271">
        <v>10328.710751876042</v>
      </c>
      <c r="T100" s="271">
        <v>11004.772143165479</v>
      </c>
      <c r="U100" s="271">
        <v>11087.174566155769</v>
      </c>
      <c r="V100" s="271">
        <v>10912.367113916256</v>
      </c>
      <c r="W100" s="271">
        <v>11472.989379000473</v>
      </c>
      <c r="X100" s="271">
        <v>11658.752066666442</v>
      </c>
      <c r="Y100" s="271">
        <v>12164.121840034628</v>
      </c>
      <c r="Z100" s="271">
        <v>12458.007938213867</v>
      </c>
      <c r="AA100" s="271">
        <v>12666.633725900261</v>
      </c>
      <c r="AB100" s="271">
        <v>13006.246024120352</v>
      </c>
    </row>
    <row r="101" spans="1:28" x14ac:dyDescent="0.2">
      <c r="A101" s="314" t="s">
        <v>1263</v>
      </c>
      <c r="B101" s="314" t="s">
        <v>1371</v>
      </c>
      <c r="C101" s="271">
        <v>4608.4855386865638</v>
      </c>
      <c r="D101" s="271">
        <v>4780.9472998775072</v>
      </c>
      <c r="E101" s="271">
        <v>4922</v>
      </c>
      <c r="F101" s="271">
        <v>5201.5531319928396</v>
      </c>
      <c r="G101" s="271">
        <v>5087.4325289734788</v>
      </c>
      <c r="H101" s="271">
        <v>5090.1778964683863</v>
      </c>
      <c r="I101" s="271">
        <v>5500.6145347665761</v>
      </c>
      <c r="J101" s="271">
        <v>5230.2315179000716</v>
      </c>
      <c r="K101" s="271">
        <v>4743.8145253850435</v>
      </c>
      <c r="L101" s="271">
        <v>4959.3678518314782</v>
      </c>
      <c r="M101" s="271">
        <v>5243.2520739051588</v>
      </c>
      <c r="N101" s="271">
        <v>5007.2942443228412</v>
      </c>
      <c r="O101" s="271">
        <v>5130.5818141113186</v>
      </c>
      <c r="P101" s="271">
        <v>5330.5371294427696</v>
      </c>
      <c r="Q101" s="271">
        <v>5109.5707274845872</v>
      </c>
      <c r="R101" s="271">
        <v>5065.4706384666306</v>
      </c>
      <c r="S101" s="271">
        <v>4584.4971555831316</v>
      </c>
      <c r="T101" s="271">
        <v>4955.5142625955086</v>
      </c>
      <c r="U101" s="271">
        <v>5133.9211716681966</v>
      </c>
      <c r="V101" s="271">
        <v>5015.3330497551742</v>
      </c>
      <c r="W101" s="271">
        <v>5018.4814069741042</v>
      </c>
      <c r="X101" s="271">
        <v>4947.1186433450293</v>
      </c>
      <c r="Y101" s="271">
        <v>4355.2274861862261</v>
      </c>
      <c r="Z101" s="271">
        <v>5139.1684336997469</v>
      </c>
      <c r="AA101" s="271">
        <v>5338.564390898634</v>
      </c>
      <c r="AB101" s="271">
        <v>4837.9755930887959</v>
      </c>
    </row>
    <row r="102" spans="1:28" x14ac:dyDescent="0.2">
      <c r="A102" s="314" t="s">
        <v>1264</v>
      </c>
      <c r="B102" s="314" t="s">
        <v>1371</v>
      </c>
      <c r="C102" s="271">
        <v>1618.8686502212656</v>
      </c>
      <c r="D102" s="271">
        <v>1679.4510120861864</v>
      </c>
      <c r="E102" s="271">
        <v>1729</v>
      </c>
      <c r="F102" s="271">
        <v>1827.2014151189801</v>
      </c>
      <c r="G102" s="271">
        <v>1787.1131334000702</v>
      </c>
      <c r="H102" s="271">
        <v>1788.077526004437</v>
      </c>
      <c r="I102" s="271">
        <v>1932.255694963716</v>
      </c>
      <c r="J102" s="271">
        <v>1837.2755575882211</v>
      </c>
      <c r="K102" s="271">
        <v>1666.407012269553</v>
      </c>
      <c r="L102" s="271">
        <v>1742.1265777766409</v>
      </c>
      <c r="M102" s="271">
        <v>1841.8494180784276</v>
      </c>
      <c r="N102" s="271">
        <v>1758.9621593730581</v>
      </c>
      <c r="O102" s="271">
        <v>1802.2706128806317</v>
      </c>
      <c r="P102" s="271">
        <v>1872.5109095502944</v>
      </c>
      <c r="Q102" s="271">
        <v>1794.8898390534034</v>
      </c>
      <c r="R102" s="271">
        <v>1779.3983612167419</v>
      </c>
      <c r="S102" s="271">
        <v>1610.442011784485</v>
      </c>
      <c r="T102" s="271">
        <v>1740.7728890750984</v>
      </c>
      <c r="U102" s="271">
        <v>1803.4436622946591</v>
      </c>
      <c r="V102" s="271">
        <v>1761.7860306840098</v>
      </c>
      <c r="W102" s="271">
        <v>1762.8919855055315</v>
      </c>
      <c r="X102" s="271">
        <v>1737.8236762177073</v>
      </c>
      <c r="Y102" s="271">
        <v>1529.9041697716345</v>
      </c>
      <c r="Z102" s="271">
        <v>1805.2869203305288</v>
      </c>
      <c r="AA102" s="271">
        <v>1875.3307256935673</v>
      </c>
      <c r="AB102" s="271">
        <v>1699.483909071623</v>
      </c>
    </row>
    <row r="103" spans="1:28" x14ac:dyDescent="0.2">
      <c r="A103" s="314" t="s">
        <v>1265</v>
      </c>
      <c r="B103" s="314" t="s">
        <v>1371</v>
      </c>
      <c r="C103" s="271">
        <v>1872.9761806765439</v>
      </c>
      <c r="D103" s="271">
        <v>1910.9280269032333</v>
      </c>
      <c r="E103" s="271">
        <v>1976.0022200000001</v>
      </c>
      <c r="F103" s="271">
        <v>2030.8636992547858</v>
      </c>
      <c r="G103" s="271">
        <v>2075.5309272051686</v>
      </c>
      <c r="H103" s="271">
        <v>2169.2884796084745</v>
      </c>
      <c r="I103" s="271">
        <v>2208.5766618884063</v>
      </c>
      <c r="J103" s="271">
        <v>2221.1059846121589</v>
      </c>
      <c r="K103" s="271">
        <v>2173.1047545055512</v>
      </c>
      <c r="L103" s="271">
        <v>2188.6557792128515</v>
      </c>
      <c r="M103" s="271">
        <v>2279.3048850116093</v>
      </c>
      <c r="N103" s="271">
        <v>2172.3885252699979</v>
      </c>
      <c r="O103" s="271">
        <v>2247.4492905447646</v>
      </c>
      <c r="P103" s="271">
        <v>2176.088652245488</v>
      </c>
      <c r="Q103" s="271">
        <v>2187.0756204411227</v>
      </c>
      <c r="R103" s="271">
        <v>2150.1135225252115</v>
      </c>
      <c r="S103" s="271">
        <v>2118.272483180584</v>
      </c>
      <c r="T103" s="271">
        <v>2256.9231121421012</v>
      </c>
      <c r="U103" s="271">
        <v>2273.822683575645</v>
      </c>
      <c r="V103" s="271">
        <v>2237.972147644371</v>
      </c>
      <c r="W103" s="271">
        <v>2352.9478446228704</v>
      </c>
      <c r="X103" s="271">
        <v>2391.0451443863494</v>
      </c>
      <c r="Y103" s="271">
        <v>2494.6893368198143</v>
      </c>
      <c r="Z103" s="271">
        <v>2554.9612187533185</v>
      </c>
      <c r="AA103" s="271">
        <v>2597.7474169492257</v>
      </c>
      <c r="AB103" s="271">
        <v>2667.3970957475858</v>
      </c>
    </row>
    <row r="104" spans="1:28" x14ac:dyDescent="0.2">
      <c r="A104" s="315" t="s">
        <v>1266</v>
      </c>
      <c r="B104" s="315" t="s">
        <v>1371</v>
      </c>
      <c r="C104" s="273">
        <v>22.085170030711538</v>
      </c>
      <c r="D104" s="273">
        <v>22.532678645900173</v>
      </c>
      <c r="E104" s="273">
        <v>23.3</v>
      </c>
      <c r="F104" s="273">
        <v>23.946898294798732</v>
      </c>
      <c r="G104" s="273">
        <v>24.473591231026266</v>
      </c>
      <c r="H104" s="273">
        <v>25.579131978342343</v>
      </c>
      <c r="I104" s="273">
        <v>26.04239797969451</v>
      </c>
      <c r="J104" s="273">
        <v>26.190137297246206</v>
      </c>
      <c r="K104" s="273">
        <v>25.624131525509792</v>
      </c>
      <c r="L104" s="273">
        <v>25.807501195853636</v>
      </c>
      <c r="M104" s="273">
        <v>26.876388742503789</v>
      </c>
      <c r="N104" s="273">
        <v>25.615686119416885</v>
      </c>
      <c r="O104" s="273">
        <v>26.500763986840568</v>
      </c>
      <c r="P104" s="273">
        <v>25.65931611014074</v>
      </c>
      <c r="Q104" s="273">
        <v>25.788868777828682</v>
      </c>
      <c r="R104" s="273">
        <v>25.35303076473134</v>
      </c>
      <c r="S104" s="273">
        <v>24.977577635569464</v>
      </c>
      <c r="T104" s="273">
        <v>26.612474409523163</v>
      </c>
      <c r="U104" s="273">
        <v>26.811745447994753</v>
      </c>
      <c r="V104" s="273">
        <v>26.389014401063701</v>
      </c>
      <c r="W104" s="273">
        <v>27.744748576098704</v>
      </c>
      <c r="X104" s="273">
        <v>28.193972304445055</v>
      </c>
      <c r="Y104" s="273">
        <v>29.416091216689864</v>
      </c>
      <c r="Z104" s="273">
        <v>30.126786192048066</v>
      </c>
      <c r="AA104" s="273">
        <v>30.631298994652422</v>
      </c>
      <c r="AB104" s="273">
        <v>31.452572118526643</v>
      </c>
    </row>
    <row r="105" spans="1:28" ht="24" x14ac:dyDescent="0.2">
      <c r="A105" s="312" t="s">
        <v>1395</v>
      </c>
      <c r="B105" s="301"/>
      <c r="C105" s="305"/>
      <c r="D105" s="305"/>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6"/>
    </row>
    <row r="106" spans="1:28" ht="24" x14ac:dyDescent="0.2">
      <c r="A106" s="313" t="s">
        <v>1268</v>
      </c>
      <c r="B106" s="313" t="s">
        <v>1396</v>
      </c>
      <c r="C106" s="269">
        <v>68209.656098505104</v>
      </c>
      <c r="D106" s="269">
        <v>68662.245304166849</v>
      </c>
      <c r="E106" s="269">
        <v>68102.875888392853</v>
      </c>
      <c r="F106" s="269">
        <v>66591.608736372174</v>
      </c>
      <c r="G106" s="269">
        <v>65080.341584351496</v>
      </c>
      <c r="H106" s="269">
        <v>63569.074432330817</v>
      </c>
      <c r="I106" s="269">
        <v>62057.807280310139</v>
      </c>
      <c r="J106" s="269">
        <v>60546.54012828946</v>
      </c>
      <c r="K106" s="269">
        <v>59035.272976268781</v>
      </c>
      <c r="L106" s="269">
        <v>57524.005824248103</v>
      </c>
      <c r="M106" s="269">
        <v>56012.738672227424</v>
      </c>
      <c r="N106" s="269">
        <v>54501.471520206745</v>
      </c>
      <c r="O106" s="269">
        <v>52990.204368186067</v>
      </c>
      <c r="P106" s="269">
        <v>51478.937216165388</v>
      </c>
      <c r="Q106" s="269">
        <v>49967.67006414471</v>
      </c>
      <c r="R106" s="269">
        <v>48456.402912124031</v>
      </c>
      <c r="S106" s="269">
        <v>46945.135760103352</v>
      </c>
      <c r="T106" s="269">
        <v>45433.868608082674</v>
      </c>
      <c r="U106" s="269">
        <v>43922.601456061995</v>
      </c>
      <c r="V106" s="269">
        <v>42411.334304041316</v>
      </c>
      <c r="W106" s="269">
        <v>40900.067152020638</v>
      </c>
      <c r="X106" s="269">
        <v>39388.800000000003</v>
      </c>
      <c r="Y106" s="269">
        <v>38489.947598253275</v>
      </c>
      <c r="Z106" s="269">
        <v>41951.360000000001</v>
      </c>
      <c r="AA106" s="269">
        <v>47139.840000000004</v>
      </c>
      <c r="AB106" s="269">
        <v>47069.440000000002</v>
      </c>
    </row>
    <row r="107" spans="1:28" ht="24" x14ac:dyDescent="0.2">
      <c r="A107" s="314" t="s">
        <v>1397</v>
      </c>
      <c r="B107" s="314" t="s">
        <v>1396</v>
      </c>
      <c r="C107" s="271" t="s">
        <v>1234</v>
      </c>
      <c r="D107" s="271" t="s">
        <v>1234</v>
      </c>
      <c r="E107" s="271" t="s">
        <v>1234</v>
      </c>
      <c r="F107" s="271" t="s">
        <v>1234</v>
      </c>
      <c r="G107" s="271" t="s">
        <v>1234</v>
      </c>
      <c r="H107" s="271" t="s">
        <v>1234</v>
      </c>
      <c r="I107" s="271" t="s">
        <v>1234</v>
      </c>
      <c r="J107" s="271" t="s">
        <v>1234</v>
      </c>
      <c r="K107" s="271" t="s">
        <v>1234</v>
      </c>
      <c r="L107" s="271" t="s">
        <v>1234</v>
      </c>
      <c r="M107" s="271" t="s">
        <v>1234</v>
      </c>
      <c r="N107" s="271" t="s">
        <v>1234</v>
      </c>
      <c r="O107" s="271" t="s">
        <v>1234</v>
      </c>
      <c r="P107" s="271" t="s">
        <v>1234</v>
      </c>
      <c r="Q107" s="271" t="s">
        <v>1234</v>
      </c>
      <c r="R107" s="271" t="s">
        <v>1234</v>
      </c>
      <c r="S107" s="271" t="s">
        <v>1234</v>
      </c>
      <c r="T107" s="271" t="s">
        <v>1234</v>
      </c>
      <c r="U107" s="271" t="s">
        <v>1234</v>
      </c>
      <c r="V107" s="271" t="s">
        <v>1234</v>
      </c>
      <c r="W107" s="271" t="s">
        <v>1234</v>
      </c>
      <c r="X107" s="271">
        <v>7754.56</v>
      </c>
      <c r="Y107" s="271">
        <v>3860.0829694323147</v>
      </c>
      <c r="Z107" s="271">
        <v>4076.1600000000003</v>
      </c>
      <c r="AA107" s="271">
        <v>4128.96</v>
      </c>
      <c r="AB107" s="271">
        <v>5220.16</v>
      </c>
    </row>
    <row r="108" spans="1:28" ht="36" x14ac:dyDescent="0.2">
      <c r="A108" s="314" t="s">
        <v>1398</v>
      </c>
      <c r="B108" s="314" t="s">
        <v>1396</v>
      </c>
      <c r="C108" s="271" t="s">
        <v>1234</v>
      </c>
      <c r="D108" s="271" t="s">
        <v>1234</v>
      </c>
      <c r="E108" s="271" t="s">
        <v>1234</v>
      </c>
      <c r="F108" s="271" t="s">
        <v>1234</v>
      </c>
      <c r="G108" s="271" t="s">
        <v>1234</v>
      </c>
      <c r="H108" s="271" t="s">
        <v>1234</v>
      </c>
      <c r="I108" s="271" t="s">
        <v>1234</v>
      </c>
      <c r="J108" s="271" t="s">
        <v>1234</v>
      </c>
      <c r="K108" s="271" t="s">
        <v>1234</v>
      </c>
      <c r="L108" s="271" t="s">
        <v>1234</v>
      </c>
      <c r="M108" s="271" t="s">
        <v>1234</v>
      </c>
      <c r="N108" s="271" t="s">
        <v>1234</v>
      </c>
      <c r="O108" s="271" t="s">
        <v>1234</v>
      </c>
      <c r="P108" s="271" t="s">
        <v>1234</v>
      </c>
      <c r="Q108" s="271" t="s">
        <v>1234</v>
      </c>
      <c r="R108" s="271" t="s">
        <v>1234</v>
      </c>
      <c r="S108" s="271" t="s">
        <v>1234</v>
      </c>
      <c r="T108" s="271" t="s">
        <v>1234</v>
      </c>
      <c r="U108" s="271" t="s">
        <v>1234</v>
      </c>
      <c r="V108" s="271" t="s">
        <v>1234</v>
      </c>
      <c r="W108" s="271" t="s">
        <v>1234</v>
      </c>
      <c r="X108" s="271">
        <v>29367.360000000001</v>
      </c>
      <c r="Y108" s="271">
        <v>31580.606986899562</v>
      </c>
      <c r="Z108" s="271">
        <v>34858.559999999998</v>
      </c>
      <c r="AA108" s="271">
        <v>39216.320000000007</v>
      </c>
      <c r="AB108" s="271">
        <v>38216.640000000007</v>
      </c>
    </row>
    <row r="109" spans="1:28" ht="24" x14ac:dyDescent="0.2">
      <c r="A109" s="314" t="s">
        <v>1399</v>
      </c>
      <c r="B109" s="314" t="s">
        <v>1396</v>
      </c>
      <c r="C109" s="271" t="s">
        <v>1234</v>
      </c>
      <c r="D109" s="271" t="s">
        <v>1234</v>
      </c>
      <c r="E109" s="271" t="s">
        <v>1234</v>
      </c>
      <c r="F109" s="271" t="s">
        <v>1234</v>
      </c>
      <c r="G109" s="271" t="s">
        <v>1234</v>
      </c>
      <c r="H109" s="271" t="s">
        <v>1234</v>
      </c>
      <c r="I109" s="271" t="s">
        <v>1234</v>
      </c>
      <c r="J109" s="271" t="s">
        <v>1234</v>
      </c>
      <c r="K109" s="271" t="s">
        <v>1234</v>
      </c>
      <c r="L109" s="271" t="s">
        <v>1234</v>
      </c>
      <c r="M109" s="271" t="s">
        <v>1234</v>
      </c>
      <c r="N109" s="271" t="s">
        <v>1234</v>
      </c>
      <c r="O109" s="271" t="s">
        <v>1234</v>
      </c>
      <c r="P109" s="271" t="s">
        <v>1234</v>
      </c>
      <c r="Q109" s="271" t="s">
        <v>1234</v>
      </c>
      <c r="R109" s="271" t="s">
        <v>1234</v>
      </c>
      <c r="S109" s="271" t="s">
        <v>1234</v>
      </c>
      <c r="T109" s="271" t="s">
        <v>1234</v>
      </c>
      <c r="U109" s="271" t="s">
        <v>1234</v>
      </c>
      <c r="V109" s="271" t="s">
        <v>1234</v>
      </c>
      <c r="W109" s="271" t="s">
        <v>1234</v>
      </c>
      <c r="X109" s="271">
        <v>2266.88</v>
      </c>
      <c r="Y109" s="271">
        <v>3049.257641921397</v>
      </c>
      <c r="Z109" s="271">
        <v>3016.6400000000003</v>
      </c>
      <c r="AA109" s="271">
        <v>3794.5600000000004</v>
      </c>
      <c r="AB109" s="271">
        <v>3632.6400000000003</v>
      </c>
    </row>
    <row r="110" spans="1:28" x14ac:dyDescent="0.2">
      <c r="A110" s="314" t="s">
        <v>1269</v>
      </c>
      <c r="B110" s="314" t="s">
        <v>1396</v>
      </c>
      <c r="C110" s="271">
        <v>14226</v>
      </c>
      <c r="D110" s="271">
        <v>14759</v>
      </c>
      <c r="E110" s="271">
        <v>15194</v>
      </c>
      <c r="F110" s="271">
        <v>15495.403523093448</v>
      </c>
      <c r="G110" s="271">
        <v>15796.807046186896</v>
      </c>
      <c r="H110" s="271">
        <v>16098.210569280343</v>
      </c>
      <c r="I110" s="271">
        <v>16399.614092373791</v>
      </c>
      <c r="J110" s="271">
        <v>16701.017615467241</v>
      </c>
      <c r="K110" s="271">
        <v>17002.42113856069</v>
      </c>
      <c r="L110" s="271">
        <v>17303.82466165414</v>
      </c>
      <c r="M110" s="271">
        <v>17605.22818474759</v>
      </c>
      <c r="N110" s="271">
        <v>17906.631707841039</v>
      </c>
      <c r="O110" s="271">
        <v>18208.035230934489</v>
      </c>
      <c r="P110" s="271">
        <v>18509.438754027939</v>
      </c>
      <c r="Q110" s="271">
        <v>18810.842277121388</v>
      </c>
      <c r="R110" s="271">
        <v>19112.245800214838</v>
      </c>
      <c r="S110" s="271">
        <v>19413.649323308287</v>
      </c>
      <c r="T110" s="271">
        <v>19715.052846401737</v>
      </c>
      <c r="U110" s="271">
        <v>20016.456369495187</v>
      </c>
      <c r="V110" s="271">
        <v>20317.859892588636</v>
      </c>
      <c r="W110" s="271">
        <v>20619.263415682086</v>
      </c>
      <c r="X110" s="271">
        <v>20920.666938775514</v>
      </c>
      <c r="Y110" s="271">
        <v>20149.668461538466</v>
      </c>
      <c r="Z110" s="271">
        <v>21332.078431372549</v>
      </c>
      <c r="AA110" s="271">
        <v>23964.074074074073</v>
      </c>
      <c r="AB110" s="271">
        <v>23093.172307692308</v>
      </c>
    </row>
    <row r="111" spans="1:28" ht="24" x14ac:dyDescent="0.2">
      <c r="A111" s="314" t="s">
        <v>1400</v>
      </c>
      <c r="B111" s="314" t="s">
        <v>1396</v>
      </c>
      <c r="C111" s="271" t="s">
        <v>1234</v>
      </c>
      <c r="D111" s="271" t="s">
        <v>1234</v>
      </c>
      <c r="E111" s="271" t="s">
        <v>1234</v>
      </c>
      <c r="F111" s="271" t="s">
        <v>1234</v>
      </c>
      <c r="G111" s="271" t="s">
        <v>1234</v>
      </c>
      <c r="H111" s="271" t="s">
        <v>1234</v>
      </c>
      <c r="I111" s="271" t="s">
        <v>1234</v>
      </c>
      <c r="J111" s="271" t="s">
        <v>1234</v>
      </c>
      <c r="K111" s="271" t="s">
        <v>1234</v>
      </c>
      <c r="L111" s="271" t="s">
        <v>1234</v>
      </c>
      <c r="M111" s="271" t="s">
        <v>1234</v>
      </c>
      <c r="N111" s="271" t="s">
        <v>1234</v>
      </c>
      <c r="O111" s="271" t="s">
        <v>1234</v>
      </c>
      <c r="P111" s="271" t="s">
        <v>1234</v>
      </c>
      <c r="Q111" s="271" t="s">
        <v>1234</v>
      </c>
      <c r="R111" s="271" t="s">
        <v>1234</v>
      </c>
      <c r="S111" s="271" t="s">
        <v>1234</v>
      </c>
      <c r="T111" s="271" t="s">
        <v>1234</v>
      </c>
      <c r="U111" s="271" t="s">
        <v>1234</v>
      </c>
      <c r="V111" s="271" t="s">
        <v>1234</v>
      </c>
      <c r="W111" s="271" t="s">
        <v>1234</v>
      </c>
      <c r="X111" s="271">
        <v>9057.9114285714295</v>
      </c>
      <c r="Y111" s="271">
        <v>7493.1153846153866</v>
      </c>
      <c r="Z111" s="271">
        <v>7601.6470588235297</v>
      </c>
      <c r="AA111" s="271">
        <v>8379.1851851851843</v>
      </c>
      <c r="AB111" s="271">
        <v>6870.2523076923071</v>
      </c>
    </row>
    <row r="112" spans="1:28" ht="24" x14ac:dyDescent="0.2">
      <c r="A112" s="314" t="s">
        <v>1401</v>
      </c>
      <c r="B112" s="314" t="s">
        <v>1396</v>
      </c>
      <c r="C112" s="271" t="s">
        <v>1234</v>
      </c>
      <c r="D112" s="271" t="s">
        <v>1234</v>
      </c>
      <c r="E112" s="271" t="s">
        <v>1234</v>
      </c>
      <c r="F112" s="271" t="s">
        <v>1234</v>
      </c>
      <c r="G112" s="271" t="s">
        <v>1234</v>
      </c>
      <c r="H112" s="271" t="s">
        <v>1234</v>
      </c>
      <c r="I112" s="271" t="s">
        <v>1234</v>
      </c>
      <c r="J112" s="271" t="s">
        <v>1234</v>
      </c>
      <c r="K112" s="271" t="s">
        <v>1234</v>
      </c>
      <c r="L112" s="271" t="s">
        <v>1234</v>
      </c>
      <c r="M112" s="271" t="s">
        <v>1234</v>
      </c>
      <c r="N112" s="271" t="s">
        <v>1234</v>
      </c>
      <c r="O112" s="271" t="s">
        <v>1234</v>
      </c>
      <c r="P112" s="271" t="s">
        <v>1234</v>
      </c>
      <c r="Q112" s="271" t="s">
        <v>1234</v>
      </c>
      <c r="R112" s="271" t="s">
        <v>1234</v>
      </c>
      <c r="S112" s="271" t="s">
        <v>1234</v>
      </c>
      <c r="T112" s="271" t="s">
        <v>1234</v>
      </c>
      <c r="U112" s="271" t="s">
        <v>1234</v>
      </c>
      <c r="V112" s="271" t="s">
        <v>1234</v>
      </c>
      <c r="W112" s="271" t="s">
        <v>1234</v>
      </c>
      <c r="X112" s="271">
        <v>10055.5106122449</v>
      </c>
      <c r="Y112" s="271">
        <v>10483.549615384618</v>
      </c>
      <c r="Z112" s="271">
        <v>11175.607843137253</v>
      </c>
      <c r="AA112" s="271">
        <v>13481.851851851852</v>
      </c>
      <c r="AB112" s="271">
        <v>14075.966153846153</v>
      </c>
    </row>
    <row r="113" spans="1:28" ht="24" x14ac:dyDescent="0.2">
      <c r="A113" s="315" t="s">
        <v>1402</v>
      </c>
      <c r="B113" s="315" t="s">
        <v>1396</v>
      </c>
      <c r="C113" s="273" t="s">
        <v>1234</v>
      </c>
      <c r="D113" s="273" t="s">
        <v>1234</v>
      </c>
      <c r="E113" s="273" t="s">
        <v>1234</v>
      </c>
      <c r="F113" s="273" t="s">
        <v>1234</v>
      </c>
      <c r="G113" s="273" t="s">
        <v>1234</v>
      </c>
      <c r="H113" s="273" t="s">
        <v>1234</v>
      </c>
      <c r="I113" s="273" t="s">
        <v>1234</v>
      </c>
      <c r="J113" s="273" t="s">
        <v>1234</v>
      </c>
      <c r="K113" s="273" t="s">
        <v>1234</v>
      </c>
      <c r="L113" s="273" t="s">
        <v>1234</v>
      </c>
      <c r="M113" s="273" t="s">
        <v>1234</v>
      </c>
      <c r="N113" s="273" t="s">
        <v>1234</v>
      </c>
      <c r="O113" s="273" t="s">
        <v>1234</v>
      </c>
      <c r="P113" s="273" t="s">
        <v>1234</v>
      </c>
      <c r="Q113" s="273" t="s">
        <v>1234</v>
      </c>
      <c r="R113" s="273" t="s">
        <v>1234</v>
      </c>
      <c r="S113" s="273" t="s">
        <v>1234</v>
      </c>
      <c r="T113" s="273" t="s">
        <v>1234</v>
      </c>
      <c r="U113" s="273" t="s">
        <v>1234</v>
      </c>
      <c r="V113" s="273" t="s">
        <v>1234</v>
      </c>
      <c r="W113" s="273" t="s">
        <v>1234</v>
      </c>
      <c r="X113" s="273">
        <v>1807.2448979591838</v>
      </c>
      <c r="Y113" s="273">
        <v>2173.003461538462</v>
      </c>
      <c r="Z113" s="273">
        <v>2554.8235294117644</v>
      </c>
      <c r="AA113" s="273">
        <v>2103.037037037037</v>
      </c>
      <c r="AB113" s="273">
        <v>2146.9538461538464</v>
      </c>
    </row>
    <row r="114" spans="1:28" x14ac:dyDescent="0.2">
      <c r="A114" s="312" t="s">
        <v>1270</v>
      </c>
      <c r="B114" s="301"/>
      <c r="C114" s="305"/>
      <c r="D114" s="305"/>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c r="AA114" s="305"/>
      <c r="AB114" s="306"/>
    </row>
    <row r="115" spans="1:28" x14ac:dyDescent="0.2">
      <c r="A115" s="311" t="s">
        <v>1271</v>
      </c>
      <c r="B115" s="311" t="s">
        <v>1357</v>
      </c>
      <c r="C115" s="285">
        <v>291925</v>
      </c>
      <c r="D115" s="285">
        <v>293862</v>
      </c>
      <c r="E115" s="285">
        <v>291468</v>
      </c>
      <c r="F115" s="285">
        <v>293263</v>
      </c>
      <c r="G115" s="285">
        <v>301545</v>
      </c>
      <c r="H115" s="285">
        <v>296947</v>
      </c>
      <c r="I115" s="285">
        <v>284672</v>
      </c>
      <c r="J115" s="285">
        <v>294370</v>
      </c>
      <c r="K115" s="285">
        <v>302709</v>
      </c>
      <c r="L115" s="285">
        <v>296059</v>
      </c>
      <c r="M115" s="285">
        <v>298957</v>
      </c>
      <c r="N115" s="285">
        <v>289994</v>
      </c>
      <c r="O115" s="285">
        <v>302999</v>
      </c>
      <c r="P115" s="285">
        <v>301493</v>
      </c>
      <c r="Q115" s="285">
        <v>303001</v>
      </c>
      <c r="R115" s="285">
        <v>300468</v>
      </c>
      <c r="S115" s="285">
        <v>300324</v>
      </c>
      <c r="T115" s="285">
        <v>301066</v>
      </c>
      <c r="U115" s="285">
        <v>303181</v>
      </c>
      <c r="V115" s="285">
        <v>304573</v>
      </c>
      <c r="W115" s="285">
        <v>304805</v>
      </c>
      <c r="X115" s="285">
        <v>305057</v>
      </c>
      <c r="Y115" s="285">
        <v>303341</v>
      </c>
      <c r="Z115" s="285">
        <v>302827</v>
      </c>
      <c r="AA115" s="285">
        <v>301834</v>
      </c>
      <c r="AB115" s="285">
        <v>301257</v>
      </c>
    </row>
    <row r="116" spans="1:28" ht="24" x14ac:dyDescent="0.2">
      <c r="A116" s="312" t="s">
        <v>1403</v>
      </c>
      <c r="B116" s="301"/>
      <c r="C116" s="305"/>
      <c r="D116" s="305"/>
      <c r="E116" s="305"/>
      <c r="F116" s="305"/>
      <c r="G116" s="305"/>
      <c r="H116" s="305"/>
      <c r="I116" s="305"/>
      <c r="J116" s="305"/>
      <c r="K116" s="305"/>
      <c r="L116" s="305"/>
      <c r="M116" s="305"/>
      <c r="N116" s="305"/>
      <c r="O116" s="305"/>
      <c r="P116" s="305"/>
      <c r="Q116" s="305"/>
      <c r="R116" s="305"/>
      <c r="S116" s="305"/>
      <c r="T116" s="305"/>
      <c r="U116" s="305"/>
      <c r="V116" s="305"/>
      <c r="W116" s="305"/>
      <c r="X116" s="305"/>
      <c r="Y116" s="305"/>
      <c r="Z116" s="305"/>
      <c r="AA116" s="305"/>
      <c r="AB116" s="306"/>
    </row>
    <row r="117" spans="1:28" ht="24" x14ac:dyDescent="0.2">
      <c r="A117" s="313" t="s">
        <v>1273</v>
      </c>
      <c r="B117" s="313" t="s">
        <v>1404</v>
      </c>
      <c r="C117" s="269">
        <v>1732.8914637503442</v>
      </c>
      <c r="D117" s="269">
        <v>1744.3896594008859</v>
      </c>
      <c r="E117" s="269">
        <v>1730.1786731399684</v>
      </c>
      <c r="F117" s="269">
        <v>1717.1124271852332</v>
      </c>
      <c r="G117" s="269">
        <v>1704.046181230498</v>
      </c>
      <c r="H117" s="269">
        <v>1690.9799352757627</v>
      </c>
      <c r="I117" s="269">
        <v>1677.9136893210275</v>
      </c>
      <c r="J117" s="269">
        <v>1664.8474433662923</v>
      </c>
      <c r="K117" s="269">
        <v>1651.7811974115571</v>
      </c>
      <c r="L117" s="269">
        <v>1638.7149514568218</v>
      </c>
      <c r="M117" s="269">
        <v>1625.6487055020866</v>
      </c>
      <c r="N117" s="269">
        <v>1612.5824595473514</v>
      </c>
      <c r="O117" s="269">
        <v>1599.5162135926162</v>
      </c>
      <c r="P117" s="269">
        <v>1586.4499676378809</v>
      </c>
      <c r="Q117" s="269">
        <v>1573.3837216831457</v>
      </c>
      <c r="R117" s="269">
        <v>1560.3174757284105</v>
      </c>
      <c r="S117" s="269">
        <v>1547.2512297736753</v>
      </c>
      <c r="T117" s="269">
        <v>1534.1849838189401</v>
      </c>
      <c r="U117" s="269">
        <v>1521.1187378642048</v>
      </c>
      <c r="V117" s="269">
        <v>1508.0524919094696</v>
      </c>
      <c r="W117" s="269">
        <v>1494.9862459547344</v>
      </c>
      <c r="X117" s="269">
        <v>1481.92</v>
      </c>
      <c r="Y117" s="269">
        <v>1587</v>
      </c>
      <c r="Z117" s="269">
        <v>1714.24</v>
      </c>
      <c r="AA117" s="269">
        <v>1837.44</v>
      </c>
      <c r="AB117" s="269">
        <v>1833.92</v>
      </c>
    </row>
    <row r="118" spans="1:28" ht="24" x14ac:dyDescent="0.2">
      <c r="A118" s="315" t="s">
        <v>1274</v>
      </c>
      <c r="B118" s="315" t="s">
        <v>1404</v>
      </c>
      <c r="C118" s="273">
        <v>361.41312838947863</v>
      </c>
      <c r="D118" s="273">
        <v>374.93816695504222</v>
      </c>
      <c r="E118" s="273">
        <v>386</v>
      </c>
      <c r="F118" s="273">
        <v>382.6653846153846</v>
      </c>
      <c r="G118" s="273">
        <v>379.33076923076919</v>
      </c>
      <c r="H118" s="273">
        <v>375.99615384615379</v>
      </c>
      <c r="I118" s="273">
        <v>372.66153846153838</v>
      </c>
      <c r="J118" s="273">
        <v>369.32692307692298</v>
      </c>
      <c r="K118" s="273">
        <v>365.99230769230758</v>
      </c>
      <c r="L118" s="273">
        <v>362.65769230769217</v>
      </c>
      <c r="M118" s="273">
        <v>359.32307692307677</v>
      </c>
      <c r="N118" s="273">
        <v>355.98846153846137</v>
      </c>
      <c r="O118" s="273">
        <v>352.65384615384596</v>
      </c>
      <c r="P118" s="273">
        <v>349.31923076923056</v>
      </c>
      <c r="Q118" s="273">
        <v>345.98461538461515</v>
      </c>
      <c r="R118" s="273">
        <v>342.65</v>
      </c>
      <c r="S118" s="273">
        <v>345.32</v>
      </c>
      <c r="T118" s="273">
        <v>342.65</v>
      </c>
      <c r="U118" s="273">
        <v>349.77</v>
      </c>
      <c r="V118" s="273">
        <v>350.66</v>
      </c>
      <c r="W118" s="273">
        <v>351.55</v>
      </c>
      <c r="X118" s="273">
        <v>354.22</v>
      </c>
      <c r="Y118" s="273">
        <v>354.22</v>
      </c>
      <c r="Z118" s="273">
        <v>356</v>
      </c>
      <c r="AA118" s="273">
        <v>356</v>
      </c>
      <c r="AB118" s="273">
        <v>348.88</v>
      </c>
    </row>
    <row r="119" spans="1:28" x14ac:dyDescent="0.2">
      <c r="A119" s="320" t="s">
        <v>1275</v>
      </c>
      <c r="B119" s="321"/>
      <c r="C119" s="275"/>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6"/>
    </row>
    <row r="120" spans="1:28" x14ac:dyDescent="0.2">
      <c r="A120" s="313" t="s">
        <v>1276</v>
      </c>
      <c r="B120" s="313" t="s">
        <v>1356</v>
      </c>
      <c r="C120" s="269">
        <v>61.11272727272727</v>
      </c>
      <c r="D120" s="269">
        <v>61.81636363636364</v>
      </c>
      <c r="E120" s="269">
        <v>62.52</v>
      </c>
      <c r="F120" s="269">
        <v>63.223636363636359</v>
      </c>
      <c r="G120" s="269">
        <v>63.927272727272729</v>
      </c>
      <c r="H120" s="269">
        <v>64.6309090909091</v>
      </c>
      <c r="I120" s="269">
        <v>65.334545454545449</v>
      </c>
      <c r="J120" s="269">
        <v>66.038181818181826</v>
      </c>
      <c r="K120" s="269">
        <v>66.741818181818175</v>
      </c>
      <c r="L120" s="269">
        <v>67.445454545454552</v>
      </c>
      <c r="M120" s="269">
        <v>68.149090909090901</v>
      </c>
      <c r="N120" s="269">
        <v>68.852727272727279</v>
      </c>
      <c r="O120" s="269">
        <v>69.556363636363642</v>
      </c>
      <c r="P120" s="269">
        <v>70.260000000000005</v>
      </c>
      <c r="Q120" s="269">
        <v>70.260000000000005</v>
      </c>
      <c r="R120" s="269">
        <v>70.260000000000005</v>
      </c>
      <c r="S120" s="269">
        <v>70.260000000000005</v>
      </c>
      <c r="T120" s="269">
        <v>70.260000000000005</v>
      </c>
      <c r="U120" s="269">
        <v>70.260000000000005</v>
      </c>
      <c r="V120" s="269">
        <v>70.260000000000005</v>
      </c>
      <c r="W120" s="269">
        <v>70.260000000000005</v>
      </c>
      <c r="X120" s="269">
        <v>70.260000000000005</v>
      </c>
      <c r="Y120" s="269">
        <v>70.260000000000005</v>
      </c>
      <c r="Z120" s="269">
        <v>70.260000000000005</v>
      </c>
      <c r="AA120" s="269">
        <v>70.260000000000005</v>
      </c>
      <c r="AB120" s="269">
        <v>70.260000000000005</v>
      </c>
    </row>
    <row r="121" spans="1:28" x14ac:dyDescent="0.2">
      <c r="A121" s="314" t="s">
        <v>1277</v>
      </c>
      <c r="B121" s="314" t="s">
        <v>1355</v>
      </c>
      <c r="C121" s="271">
        <v>232.39545454545456</v>
      </c>
      <c r="D121" s="271">
        <v>235.32272727272732</v>
      </c>
      <c r="E121" s="271">
        <v>238.25000000000003</v>
      </c>
      <c r="F121" s="271">
        <v>241.17727272727271</v>
      </c>
      <c r="G121" s="271">
        <v>244.10454545454547</v>
      </c>
      <c r="H121" s="271">
        <v>247.03181818181821</v>
      </c>
      <c r="I121" s="271">
        <v>249.95909090909089</v>
      </c>
      <c r="J121" s="271">
        <v>252.88636363636365</v>
      </c>
      <c r="K121" s="271">
        <v>255.81363636363636</v>
      </c>
      <c r="L121" s="271">
        <v>258.7409090909091</v>
      </c>
      <c r="M121" s="271">
        <v>261.66818181818184</v>
      </c>
      <c r="N121" s="271">
        <v>264.59545454545457</v>
      </c>
      <c r="O121" s="271">
        <v>267.52272727272725</v>
      </c>
      <c r="P121" s="271">
        <v>270.45000000000005</v>
      </c>
      <c r="Q121" s="271">
        <v>270.45000000000005</v>
      </c>
      <c r="R121" s="271">
        <v>270.45000000000005</v>
      </c>
      <c r="S121" s="271">
        <v>270.45000000000005</v>
      </c>
      <c r="T121" s="271">
        <v>270.45000000000005</v>
      </c>
      <c r="U121" s="271">
        <v>270.45000000000005</v>
      </c>
      <c r="V121" s="271">
        <v>270.45000000000005</v>
      </c>
      <c r="W121" s="271">
        <v>270.45000000000005</v>
      </c>
      <c r="X121" s="271">
        <v>270.45000000000005</v>
      </c>
      <c r="Y121" s="271">
        <v>270.45000000000005</v>
      </c>
      <c r="Z121" s="271">
        <v>270.45000000000005</v>
      </c>
      <c r="AA121" s="271">
        <v>270.45000000000005</v>
      </c>
      <c r="AB121" s="271">
        <v>270.45000000000005</v>
      </c>
    </row>
    <row r="122" spans="1:28" x14ac:dyDescent="0.2">
      <c r="A122" s="315" t="s">
        <v>1278</v>
      </c>
      <c r="B122" s="315" t="s">
        <v>1355</v>
      </c>
      <c r="C122" s="273">
        <v>54.831818181818178</v>
      </c>
      <c r="D122" s="273">
        <v>55.540909090909096</v>
      </c>
      <c r="E122" s="273">
        <v>56.250000000000007</v>
      </c>
      <c r="F122" s="273">
        <v>56.959090909090904</v>
      </c>
      <c r="G122" s="273">
        <v>57.668181818181822</v>
      </c>
      <c r="H122" s="273">
        <v>58.377272727272732</v>
      </c>
      <c r="I122" s="273">
        <v>59.086363636363643</v>
      </c>
      <c r="J122" s="273">
        <v>59.795454545454547</v>
      </c>
      <c r="K122" s="273">
        <v>60.504545454545458</v>
      </c>
      <c r="L122" s="273">
        <v>61.213636363636368</v>
      </c>
      <c r="M122" s="273">
        <v>61.922727272727265</v>
      </c>
      <c r="N122" s="273">
        <v>62.63181818181819</v>
      </c>
      <c r="O122" s="273">
        <v>63.340909090909093</v>
      </c>
      <c r="P122" s="273">
        <v>64.050000000000011</v>
      </c>
      <c r="Q122" s="273">
        <v>64.050000000000011</v>
      </c>
      <c r="R122" s="273">
        <v>64.050000000000011</v>
      </c>
      <c r="S122" s="273">
        <v>64.050000000000011</v>
      </c>
      <c r="T122" s="273">
        <v>64.050000000000011</v>
      </c>
      <c r="U122" s="273">
        <v>64.050000000000011</v>
      </c>
      <c r="V122" s="273">
        <v>64.050000000000011</v>
      </c>
      <c r="W122" s="273">
        <v>64.050000000000011</v>
      </c>
      <c r="X122" s="273">
        <v>64.050000000000011</v>
      </c>
      <c r="Y122" s="273">
        <v>64.050000000000011</v>
      </c>
      <c r="Z122" s="273">
        <v>64.050000000000011</v>
      </c>
      <c r="AA122" s="273">
        <v>64.050000000000011</v>
      </c>
      <c r="AB122" s="273">
        <v>64.050000000000011</v>
      </c>
    </row>
    <row r="123" spans="1:28" x14ac:dyDescent="0.2">
      <c r="A123" s="312" t="s">
        <v>1279</v>
      </c>
      <c r="B123" s="301"/>
      <c r="C123" s="305"/>
      <c r="D123" s="305"/>
      <c r="E123" s="305"/>
      <c r="F123" s="305"/>
      <c r="G123" s="305"/>
      <c r="H123" s="305"/>
      <c r="I123" s="305"/>
      <c r="J123" s="305"/>
      <c r="K123" s="305"/>
      <c r="L123" s="305"/>
      <c r="M123" s="305"/>
      <c r="N123" s="305"/>
      <c r="O123" s="305"/>
      <c r="P123" s="305"/>
      <c r="Q123" s="305"/>
      <c r="R123" s="305"/>
      <c r="S123" s="305"/>
      <c r="T123" s="305"/>
      <c r="U123" s="305"/>
      <c r="V123" s="305"/>
      <c r="W123" s="305"/>
      <c r="X123" s="305"/>
      <c r="Y123" s="305"/>
      <c r="Z123" s="305"/>
      <c r="AA123" s="305"/>
      <c r="AB123" s="306"/>
    </row>
    <row r="124" spans="1:28" x14ac:dyDescent="0.2">
      <c r="A124" s="313" t="s">
        <v>1280</v>
      </c>
      <c r="B124" s="313" t="s">
        <v>1371</v>
      </c>
      <c r="C124" s="269">
        <v>560.98106465673095</v>
      </c>
      <c r="D124" s="269">
        <v>562.38948780781755</v>
      </c>
      <c r="E124" s="269">
        <v>563.79791095890414</v>
      </c>
      <c r="F124" s="269">
        <v>565.20633410999073</v>
      </c>
      <c r="G124" s="269">
        <v>566.61475726107733</v>
      </c>
      <c r="H124" s="269">
        <v>568.02318041216404</v>
      </c>
      <c r="I124" s="269">
        <v>569.43160356325086</v>
      </c>
      <c r="J124" s="269">
        <v>570.84002671433734</v>
      </c>
      <c r="K124" s="269">
        <v>572.24844986542405</v>
      </c>
      <c r="L124" s="269">
        <v>573.65687301651076</v>
      </c>
      <c r="M124" s="269">
        <v>575.06529616759747</v>
      </c>
      <c r="N124" s="269">
        <v>576.47371931868395</v>
      </c>
      <c r="O124" s="269">
        <v>577.88214246977054</v>
      </c>
      <c r="P124" s="269">
        <v>579.29056562085725</v>
      </c>
      <c r="Q124" s="269">
        <v>579.29056562085725</v>
      </c>
      <c r="R124" s="269">
        <v>579.29056562085725</v>
      </c>
      <c r="S124" s="269">
        <v>579.29056562085725</v>
      </c>
      <c r="T124" s="269">
        <v>579.29056562085725</v>
      </c>
      <c r="U124" s="269">
        <v>579.29056562085725</v>
      </c>
      <c r="V124" s="269">
        <v>579.29056562085725</v>
      </c>
      <c r="W124" s="269">
        <v>579.29056562085725</v>
      </c>
      <c r="X124" s="269">
        <v>579.29056562085725</v>
      </c>
      <c r="Y124" s="269">
        <v>579.29056562085725</v>
      </c>
      <c r="Z124" s="269">
        <v>579.29056562085725</v>
      </c>
      <c r="AA124" s="269">
        <v>579.29056562085725</v>
      </c>
      <c r="AB124" s="269">
        <v>579.29056562085725</v>
      </c>
    </row>
    <row r="125" spans="1:28" x14ac:dyDescent="0.2">
      <c r="A125" s="314" t="s">
        <v>1281</v>
      </c>
      <c r="B125" s="314" t="s">
        <v>1371</v>
      </c>
      <c r="C125" s="271">
        <v>109.6022584662355</v>
      </c>
      <c r="D125" s="271">
        <v>109.87743060298077</v>
      </c>
      <c r="E125" s="271">
        <v>110.15260273972602</v>
      </c>
      <c r="F125" s="271">
        <v>110.4277748764713</v>
      </c>
      <c r="G125" s="271">
        <v>110.70294701321656</v>
      </c>
      <c r="H125" s="271">
        <v>110.97811914996183</v>
      </c>
      <c r="I125" s="271">
        <v>111.25329128670712</v>
      </c>
      <c r="J125" s="271">
        <v>111.52846342345238</v>
      </c>
      <c r="K125" s="271">
        <v>111.80363556019765</v>
      </c>
      <c r="L125" s="271">
        <v>112.07880769694293</v>
      </c>
      <c r="M125" s="271">
        <v>112.35397983368821</v>
      </c>
      <c r="N125" s="271">
        <v>112.62915197043345</v>
      </c>
      <c r="O125" s="271">
        <v>112.90432410717871</v>
      </c>
      <c r="P125" s="271">
        <v>113.17949624392399</v>
      </c>
      <c r="Q125" s="271">
        <v>113.17949624392399</v>
      </c>
      <c r="R125" s="271">
        <v>113.17949624392399</v>
      </c>
      <c r="S125" s="271">
        <v>113.17949624392399</v>
      </c>
      <c r="T125" s="271">
        <v>113.17949624392399</v>
      </c>
      <c r="U125" s="271">
        <v>113.17949624392399</v>
      </c>
      <c r="V125" s="271">
        <v>113.17949624392399</v>
      </c>
      <c r="W125" s="271">
        <v>113.17949624392399</v>
      </c>
      <c r="X125" s="271">
        <v>113.17949624392399</v>
      </c>
      <c r="Y125" s="271">
        <v>113.17949624392399</v>
      </c>
      <c r="Z125" s="271">
        <v>113.17949624392399</v>
      </c>
      <c r="AA125" s="271">
        <v>113.17949624392399</v>
      </c>
      <c r="AB125" s="271">
        <v>113.17949624392399</v>
      </c>
    </row>
    <row r="126" spans="1:28" x14ac:dyDescent="0.2">
      <c r="A126" s="315" t="s">
        <v>1282</v>
      </c>
      <c r="B126" s="315" t="s">
        <v>1405</v>
      </c>
      <c r="C126" s="273">
        <v>61.11272727272727</v>
      </c>
      <c r="D126" s="273">
        <v>61.81636363636364</v>
      </c>
      <c r="E126" s="273">
        <v>62.52</v>
      </c>
      <c r="F126" s="273">
        <v>63.223636363636359</v>
      </c>
      <c r="G126" s="273">
        <v>63.927272727272729</v>
      </c>
      <c r="H126" s="273">
        <v>64.6309090909091</v>
      </c>
      <c r="I126" s="273">
        <v>65.334545454545449</v>
      </c>
      <c r="J126" s="273">
        <v>66.038181818181826</v>
      </c>
      <c r="K126" s="273">
        <v>66.741818181818175</v>
      </c>
      <c r="L126" s="273">
        <v>67.445454545454552</v>
      </c>
      <c r="M126" s="273">
        <v>68.149090909090901</v>
      </c>
      <c r="N126" s="273">
        <v>68.852727272727279</v>
      </c>
      <c r="O126" s="273">
        <v>69.556363636363642</v>
      </c>
      <c r="P126" s="273">
        <v>70.260000000000005</v>
      </c>
      <c r="Q126" s="273">
        <v>70.260000000000005</v>
      </c>
      <c r="R126" s="273">
        <v>70.260000000000005</v>
      </c>
      <c r="S126" s="273">
        <v>70.260000000000005</v>
      </c>
      <c r="T126" s="273">
        <v>70.260000000000005</v>
      </c>
      <c r="U126" s="273">
        <v>70.260000000000005</v>
      </c>
      <c r="V126" s="273">
        <v>70.260000000000005</v>
      </c>
      <c r="W126" s="273">
        <v>70.260000000000005</v>
      </c>
      <c r="X126" s="273">
        <v>70.260000000000005</v>
      </c>
      <c r="Y126" s="273">
        <v>70.260000000000005</v>
      </c>
      <c r="Z126" s="273">
        <v>70.260000000000005</v>
      </c>
      <c r="AA126" s="273">
        <v>70.260000000000005</v>
      </c>
      <c r="AB126" s="273">
        <v>70.260000000000005</v>
      </c>
    </row>
    <row r="127" spans="1:28" x14ac:dyDescent="0.2">
      <c r="A127" s="320" t="s">
        <v>1283</v>
      </c>
      <c r="B127" s="321"/>
      <c r="C127" s="275"/>
      <c r="D127" s="275"/>
      <c r="E127" s="275"/>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6"/>
    </row>
    <row r="128" spans="1:28" x14ac:dyDescent="0.2">
      <c r="A128" s="313" t="s">
        <v>1276</v>
      </c>
      <c r="B128" s="313" t="s">
        <v>1356</v>
      </c>
      <c r="C128" s="269">
        <v>1.4</v>
      </c>
      <c r="D128" s="269">
        <v>1.4</v>
      </c>
      <c r="E128" s="269">
        <v>1.4</v>
      </c>
      <c r="F128" s="269">
        <v>1.4</v>
      </c>
      <c r="G128" s="269">
        <v>1.4</v>
      </c>
      <c r="H128" s="269">
        <v>1.4</v>
      </c>
      <c r="I128" s="269">
        <v>1.4</v>
      </c>
      <c r="J128" s="269">
        <v>1.4</v>
      </c>
      <c r="K128" s="269">
        <v>1.4</v>
      </c>
      <c r="L128" s="269">
        <v>1.4</v>
      </c>
      <c r="M128" s="269">
        <v>1.4</v>
      </c>
      <c r="N128" s="269">
        <v>2.0999999999999996</v>
      </c>
      <c r="O128" s="269">
        <v>2.0999999999999996</v>
      </c>
      <c r="P128" s="269">
        <v>2.8</v>
      </c>
      <c r="Q128" s="269">
        <v>2.8</v>
      </c>
      <c r="R128" s="269">
        <v>2.8</v>
      </c>
      <c r="S128" s="269">
        <v>2.8</v>
      </c>
      <c r="T128" s="269">
        <v>2.8</v>
      </c>
      <c r="U128" s="269">
        <v>7</v>
      </c>
      <c r="V128" s="269">
        <v>7.6999999999999993</v>
      </c>
      <c r="W128" s="269">
        <v>7.6999999999999993</v>
      </c>
      <c r="X128" s="269">
        <v>7.6999999999999993</v>
      </c>
      <c r="Y128" s="269">
        <v>7.6999999999999993</v>
      </c>
      <c r="Z128" s="269">
        <v>7.6999999999999993</v>
      </c>
      <c r="AA128" s="269">
        <v>7.6999999999999993</v>
      </c>
      <c r="AB128" s="269">
        <v>7.6999999999999993</v>
      </c>
    </row>
    <row r="129" spans="1:28" x14ac:dyDescent="0.2">
      <c r="A129" s="314" t="s">
        <v>1277</v>
      </c>
      <c r="B129" s="314" t="s">
        <v>1355</v>
      </c>
      <c r="C129" s="271">
        <v>6.8000000000000007</v>
      </c>
      <c r="D129" s="271">
        <v>6.8000000000000007</v>
      </c>
      <c r="E129" s="271">
        <v>6.8000000000000007</v>
      </c>
      <c r="F129" s="271">
        <v>6.8000000000000007</v>
      </c>
      <c r="G129" s="271">
        <v>6.8000000000000007</v>
      </c>
      <c r="H129" s="271">
        <v>6.8000000000000007</v>
      </c>
      <c r="I129" s="271">
        <v>6.8000000000000007</v>
      </c>
      <c r="J129" s="271">
        <v>6.8000000000000007</v>
      </c>
      <c r="K129" s="271">
        <v>6.8000000000000007</v>
      </c>
      <c r="L129" s="271">
        <v>6.8000000000000007</v>
      </c>
      <c r="M129" s="271">
        <v>6.8000000000000007</v>
      </c>
      <c r="N129" s="271">
        <v>10.199999999999999</v>
      </c>
      <c r="O129" s="271">
        <v>10.199999999999999</v>
      </c>
      <c r="P129" s="271">
        <v>13.600000000000001</v>
      </c>
      <c r="Q129" s="271">
        <v>13.600000000000001</v>
      </c>
      <c r="R129" s="271">
        <v>13.600000000000001</v>
      </c>
      <c r="S129" s="271">
        <v>13.600000000000001</v>
      </c>
      <c r="T129" s="271">
        <v>13.600000000000001</v>
      </c>
      <c r="U129" s="271">
        <v>34</v>
      </c>
      <c r="V129" s="271">
        <v>37.400000000000006</v>
      </c>
      <c r="W129" s="271">
        <v>37.400000000000006</v>
      </c>
      <c r="X129" s="271">
        <v>37.400000000000006</v>
      </c>
      <c r="Y129" s="271">
        <v>37.400000000000006</v>
      </c>
      <c r="Z129" s="271">
        <v>37.400000000000006</v>
      </c>
      <c r="AA129" s="271">
        <v>37.400000000000006</v>
      </c>
      <c r="AB129" s="271">
        <v>37.400000000000006</v>
      </c>
    </row>
    <row r="130" spans="1:28" x14ac:dyDescent="0.2">
      <c r="A130" s="315" t="s">
        <v>1278</v>
      </c>
      <c r="B130" s="315" t="s">
        <v>1355</v>
      </c>
      <c r="C130" s="273">
        <v>1.2000000000000002</v>
      </c>
      <c r="D130" s="273">
        <v>1.2000000000000002</v>
      </c>
      <c r="E130" s="273">
        <v>1.2000000000000002</v>
      </c>
      <c r="F130" s="273">
        <v>1.2000000000000002</v>
      </c>
      <c r="G130" s="273">
        <v>1.2000000000000002</v>
      </c>
      <c r="H130" s="273">
        <v>1.2000000000000002</v>
      </c>
      <c r="I130" s="273">
        <v>1.2000000000000002</v>
      </c>
      <c r="J130" s="273">
        <v>1.2000000000000002</v>
      </c>
      <c r="K130" s="273">
        <v>1.2000000000000002</v>
      </c>
      <c r="L130" s="273">
        <v>1.2000000000000002</v>
      </c>
      <c r="M130" s="273">
        <v>1.2000000000000002</v>
      </c>
      <c r="N130" s="273">
        <v>1.8</v>
      </c>
      <c r="O130" s="273">
        <v>1.8</v>
      </c>
      <c r="P130" s="273">
        <v>2.4000000000000004</v>
      </c>
      <c r="Q130" s="273">
        <v>2.4000000000000004</v>
      </c>
      <c r="R130" s="273">
        <v>2.4000000000000004</v>
      </c>
      <c r="S130" s="273">
        <v>2.4000000000000004</v>
      </c>
      <c r="T130" s="273">
        <v>2.4000000000000004</v>
      </c>
      <c r="U130" s="273">
        <v>6</v>
      </c>
      <c r="V130" s="273">
        <v>6.6000000000000005</v>
      </c>
      <c r="W130" s="273">
        <v>6.6000000000000005</v>
      </c>
      <c r="X130" s="273">
        <v>6.6000000000000005</v>
      </c>
      <c r="Y130" s="273">
        <v>6.6000000000000005</v>
      </c>
      <c r="Z130" s="273">
        <v>6.6000000000000005</v>
      </c>
      <c r="AA130" s="273">
        <v>6.6000000000000005</v>
      </c>
      <c r="AB130" s="273">
        <v>6.6000000000000005</v>
      </c>
    </row>
    <row r="131" spans="1:28" x14ac:dyDescent="0.2">
      <c r="A131" s="312" t="s">
        <v>1279</v>
      </c>
      <c r="B131" s="301"/>
      <c r="C131" s="305"/>
      <c r="D131" s="305"/>
      <c r="E131" s="305"/>
      <c r="F131" s="305"/>
      <c r="G131" s="305"/>
      <c r="H131" s="305"/>
      <c r="I131" s="305"/>
      <c r="J131" s="305"/>
      <c r="K131" s="305"/>
      <c r="L131" s="305"/>
      <c r="M131" s="305"/>
      <c r="N131" s="305"/>
      <c r="O131" s="305"/>
      <c r="P131" s="305"/>
      <c r="Q131" s="305"/>
      <c r="R131" s="305"/>
      <c r="S131" s="305"/>
      <c r="T131" s="305"/>
      <c r="U131" s="305"/>
      <c r="V131" s="305"/>
      <c r="W131" s="305"/>
      <c r="X131" s="305"/>
      <c r="Y131" s="305"/>
      <c r="Z131" s="305"/>
      <c r="AA131" s="305"/>
      <c r="AB131" s="306"/>
    </row>
    <row r="132" spans="1:28" x14ac:dyDescent="0.2">
      <c r="A132" s="313" t="s">
        <v>1280</v>
      </c>
      <c r="B132" s="313" t="s">
        <v>1371</v>
      </c>
      <c r="C132" s="269">
        <v>375.42364109589045</v>
      </c>
      <c r="D132" s="269">
        <v>291.45559726027403</v>
      </c>
      <c r="E132" s="269">
        <v>207.96452876712331</v>
      </c>
      <c r="F132" s="269">
        <v>365.1992465753425</v>
      </c>
      <c r="G132" s="269">
        <v>239.20029863013701</v>
      </c>
      <c r="H132" s="269">
        <v>105.23953150684932</v>
      </c>
      <c r="I132" s="269">
        <v>196.37851232876716</v>
      </c>
      <c r="J132" s="269">
        <v>349.27153150684933</v>
      </c>
      <c r="K132" s="269">
        <v>380.56029863013697</v>
      </c>
      <c r="L132" s="269">
        <v>698.45009589041103</v>
      </c>
      <c r="M132" s="269">
        <v>953.67674794520553</v>
      </c>
      <c r="N132" s="269">
        <v>1016.1042</v>
      </c>
      <c r="O132" s="269">
        <v>977.7994109589041</v>
      </c>
      <c r="P132" s="269">
        <v>2126.6902520547947</v>
      </c>
      <c r="Q132" s="269">
        <v>2719.8355890410962</v>
      </c>
      <c r="R132" s="269">
        <v>2635.2234246575345</v>
      </c>
      <c r="S132" s="269">
        <v>2440.6704821917806</v>
      </c>
      <c r="T132" s="269">
        <v>3204.1367835616438</v>
      </c>
      <c r="U132" s="269">
        <v>1495.52957260274</v>
      </c>
      <c r="V132" s="269">
        <v>1904.2566739726028</v>
      </c>
      <c r="W132" s="269">
        <v>1818.861780821918</v>
      </c>
      <c r="X132" s="269">
        <v>1484.2819232876714</v>
      </c>
      <c r="Y132" s="269">
        <v>773.75173150684952</v>
      </c>
      <c r="Z132" s="269">
        <v>456.62427945205485</v>
      </c>
      <c r="AA132" s="269">
        <v>303.40512328767124</v>
      </c>
      <c r="AB132" s="269">
        <v>434.82202191780823</v>
      </c>
    </row>
    <row r="133" spans="1:28" x14ac:dyDescent="0.2">
      <c r="A133" s="314" t="s">
        <v>1281</v>
      </c>
      <c r="B133" s="314" t="s">
        <v>1371</v>
      </c>
      <c r="C133" s="271">
        <v>85.807660273972616</v>
      </c>
      <c r="D133" s="271">
        <v>64.815649315068512</v>
      </c>
      <c r="E133" s="271">
        <v>43.942882191780825</v>
      </c>
      <c r="F133" s="271">
        <v>83.251561643835629</v>
      </c>
      <c r="G133" s="271">
        <v>51.75182465753425</v>
      </c>
      <c r="H133" s="271">
        <v>18.26163287671233</v>
      </c>
      <c r="I133" s="271">
        <v>41.046378082191787</v>
      </c>
      <c r="J133" s="271">
        <v>79.269632876712336</v>
      </c>
      <c r="K133" s="271">
        <v>87.091824657534247</v>
      </c>
      <c r="L133" s="271">
        <v>166.56427397260276</v>
      </c>
      <c r="M133" s="271">
        <v>230.37093698630139</v>
      </c>
      <c r="N133" s="271">
        <v>242.69280000000001</v>
      </c>
      <c r="O133" s="271">
        <v>233.11660273972603</v>
      </c>
      <c r="P133" s="271">
        <v>516.23306301369871</v>
      </c>
      <c r="Q133" s="271">
        <v>664.5193972602741</v>
      </c>
      <c r="R133" s="271">
        <v>643.36635616438366</v>
      </c>
      <c r="S133" s="271">
        <v>594.7281205479452</v>
      </c>
      <c r="T133" s="271">
        <v>785.594695890411</v>
      </c>
      <c r="U133" s="271">
        <v>358.44289315068499</v>
      </c>
      <c r="V133" s="271">
        <v>460.62466849315069</v>
      </c>
      <c r="W133" s="271">
        <v>439.2759452054795</v>
      </c>
      <c r="X133" s="271">
        <v>355.63098082191783</v>
      </c>
      <c r="Y133" s="271">
        <v>177.99843287671237</v>
      </c>
      <c r="Z133" s="271">
        <v>98.716569863013717</v>
      </c>
      <c r="AA133" s="271">
        <v>60.411780821917809</v>
      </c>
      <c r="AB133" s="271">
        <v>93.266005479452062</v>
      </c>
    </row>
    <row r="134" spans="1:28" x14ac:dyDescent="0.2">
      <c r="A134" s="315" t="s">
        <v>1282</v>
      </c>
      <c r="B134" s="315" t="s">
        <v>1405</v>
      </c>
      <c r="C134" s="273">
        <v>1.4</v>
      </c>
      <c r="D134" s="273">
        <v>1.4</v>
      </c>
      <c r="E134" s="273">
        <v>1.4</v>
      </c>
      <c r="F134" s="273">
        <v>1.4</v>
      </c>
      <c r="G134" s="273">
        <v>1.4</v>
      </c>
      <c r="H134" s="273">
        <v>1.4</v>
      </c>
      <c r="I134" s="273">
        <v>1.4</v>
      </c>
      <c r="J134" s="273">
        <v>1.4</v>
      </c>
      <c r="K134" s="273">
        <v>1.4</v>
      </c>
      <c r="L134" s="273">
        <v>1.4</v>
      </c>
      <c r="M134" s="273">
        <v>1.4</v>
      </c>
      <c r="N134" s="273">
        <v>2.0999999999999996</v>
      </c>
      <c r="O134" s="273">
        <v>2.0999999999999996</v>
      </c>
      <c r="P134" s="273">
        <v>2.8</v>
      </c>
      <c r="Q134" s="273">
        <v>2.8</v>
      </c>
      <c r="R134" s="273">
        <v>2.8</v>
      </c>
      <c r="S134" s="273">
        <v>2.8</v>
      </c>
      <c r="T134" s="273">
        <v>2.8</v>
      </c>
      <c r="U134" s="273">
        <v>7</v>
      </c>
      <c r="V134" s="273">
        <v>7.6999999999999993</v>
      </c>
      <c r="W134" s="273">
        <v>7.6999999999999993</v>
      </c>
      <c r="X134" s="273">
        <v>7.6999999999999993</v>
      </c>
      <c r="Y134" s="273">
        <v>7.6999999999999993</v>
      </c>
      <c r="Z134" s="273">
        <v>7.6999999999999993</v>
      </c>
      <c r="AA134" s="273">
        <v>7.6999999999999993</v>
      </c>
      <c r="AB134" s="273">
        <v>7.6999999999999993</v>
      </c>
    </row>
    <row r="135" spans="1:28" ht="12.75" x14ac:dyDescent="0.2">
      <c r="A135" s="222" t="s">
        <v>1284</v>
      </c>
      <c r="B135" s="289"/>
      <c r="C135" s="290"/>
      <c r="D135" s="290"/>
      <c r="E135" s="290"/>
      <c r="F135" s="290"/>
      <c r="G135" s="290"/>
      <c r="H135" s="290"/>
      <c r="I135" s="290"/>
      <c r="J135" s="290"/>
      <c r="K135" s="290"/>
      <c r="L135" s="290"/>
      <c r="M135" s="290"/>
      <c r="N135" s="290"/>
      <c r="O135" s="290"/>
      <c r="P135" s="290"/>
      <c r="Q135" s="290"/>
      <c r="R135" s="290"/>
      <c r="S135" s="290"/>
      <c r="T135" s="290"/>
      <c r="U135" s="290"/>
      <c r="V135" s="290"/>
      <c r="W135" s="290"/>
      <c r="X135" s="290"/>
      <c r="Y135" s="290"/>
      <c r="Z135" s="290"/>
      <c r="AA135" s="290"/>
      <c r="AB135" s="322"/>
    </row>
    <row r="136" spans="1:28" x14ac:dyDescent="0.2">
      <c r="A136" s="320" t="s">
        <v>1173</v>
      </c>
      <c r="B136" s="321"/>
      <c r="C136" s="275"/>
      <c r="D136" s="275"/>
      <c r="E136" s="275"/>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6"/>
    </row>
    <row r="137" spans="1:28" x14ac:dyDescent="0.2">
      <c r="A137" s="312" t="s">
        <v>1185</v>
      </c>
      <c r="B137" s="301"/>
      <c r="C137" s="305"/>
      <c r="D137" s="305"/>
      <c r="E137" s="305"/>
      <c r="F137" s="305"/>
      <c r="G137" s="305"/>
      <c r="H137" s="305"/>
      <c r="I137" s="305"/>
      <c r="J137" s="305"/>
      <c r="K137" s="305"/>
      <c r="L137" s="305"/>
      <c r="M137" s="305"/>
      <c r="N137" s="305"/>
      <c r="O137" s="305"/>
      <c r="P137" s="305"/>
      <c r="Q137" s="305"/>
      <c r="R137" s="305"/>
      <c r="S137" s="305"/>
      <c r="T137" s="305"/>
      <c r="U137" s="305"/>
      <c r="V137" s="305"/>
      <c r="W137" s="305"/>
      <c r="X137" s="305"/>
      <c r="Y137" s="305"/>
      <c r="Z137" s="305"/>
      <c r="AA137" s="305"/>
      <c r="AB137" s="306"/>
    </row>
    <row r="138" spans="1:28" x14ac:dyDescent="0.2">
      <c r="A138" s="313" t="s">
        <v>1285</v>
      </c>
      <c r="B138" s="313" t="s">
        <v>1357</v>
      </c>
      <c r="C138" s="269">
        <v>58292</v>
      </c>
      <c r="D138" s="269">
        <v>56158</v>
      </c>
      <c r="E138" s="269">
        <v>52917</v>
      </c>
      <c r="F138" s="269">
        <v>54190</v>
      </c>
      <c r="G138" s="269">
        <v>58148</v>
      </c>
      <c r="H138" s="269">
        <v>50625</v>
      </c>
      <c r="I138" s="269">
        <v>51542</v>
      </c>
      <c r="J138" s="269">
        <v>48699</v>
      </c>
      <c r="K138" s="269">
        <v>47587</v>
      </c>
      <c r="L138" s="269">
        <v>45865</v>
      </c>
      <c r="M138" s="269">
        <v>44750</v>
      </c>
      <c r="N138" s="269">
        <v>44283</v>
      </c>
      <c r="O138" s="269">
        <v>42025</v>
      </c>
      <c r="P138" s="269">
        <v>41091</v>
      </c>
      <c r="Q138" s="269">
        <v>40605</v>
      </c>
      <c r="R138" s="269">
        <v>39645</v>
      </c>
      <c r="S138" s="269">
        <v>38704</v>
      </c>
      <c r="T138" s="269">
        <v>37720</v>
      </c>
      <c r="U138" s="269">
        <v>36813</v>
      </c>
      <c r="V138" s="269">
        <v>35623</v>
      </c>
      <c r="W138" s="269">
        <v>34592</v>
      </c>
      <c r="X138" s="269">
        <v>33669</v>
      </c>
      <c r="Y138" s="269">
        <v>32406</v>
      </c>
      <c r="Z138" s="269">
        <v>30904</v>
      </c>
      <c r="AA138" s="269">
        <v>29359</v>
      </c>
      <c r="AB138" s="269">
        <v>27770</v>
      </c>
    </row>
    <row r="139" spans="1:28" x14ac:dyDescent="0.2">
      <c r="A139" s="314" t="s">
        <v>1286</v>
      </c>
      <c r="B139" s="314" t="s">
        <v>1357</v>
      </c>
      <c r="C139" s="271">
        <v>108941</v>
      </c>
      <c r="D139" s="271">
        <v>102816</v>
      </c>
      <c r="E139" s="271">
        <v>99619</v>
      </c>
      <c r="F139" s="271">
        <v>99335</v>
      </c>
      <c r="G139" s="271">
        <v>99224</v>
      </c>
      <c r="H139" s="271">
        <v>94058</v>
      </c>
      <c r="I139" s="271">
        <v>88412</v>
      </c>
      <c r="J139" s="271">
        <v>87650</v>
      </c>
      <c r="K139" s="271">
        <v>86639</v>
      </c>
      <c r="L139" s="271">
        <v>84534</v>
      </c>
      <c r="M139" s="271">
        <v>82800</v>
      </c>
      <c r="N139" s="271">
        <v>81291</v>
      </c>
      <c r="O139" s="271">
        <v>78119</v>
      </c>
      <c r="P139" s="271">
        <v>74042</v>
      </c>
      <c r="Q139" s="271">
        <v>75801</v>
      </c>
      <c r="R139" s="271">
        <v>72458</v>
      </c>
      <c r="S139" s="271">
        <v>72286</v>
      </c>
      <c r="T139" s="271">
        <v>71065</v>
      </c>
      <c r="U139" s="271">
        <v>70434</v>
      </c>
      <c r="V139" s="271">
        <v>67758</v>
      </c>
      <c r="W139" s="271">
        <v>67443</v>
      </c>
      <c r="X139" s="271">
        <v>64981</v>
      </c>
      <c r="Y139" s="271">
        <v>63703</v>
      </c>
      <c r="Z139" s="271">
        <v>60619</v>
      </c>
      <c r="AA139" s="271">
        <v>58520</v>
      </c>
      <c r="AB139" s="271">
        <v>55863</v>
      </c>
    </row>
    <row r="140" spans="1:28" x14ac:dyDescent="0.2">
      <c r="A140" s="314" t="s">
        <v>1287</v>
      </c>
      <c r="B140" s="314" t="s">
        <v>1357</v>
      </c>
      <c r="C140" s="271">
        <v>465538</v>
      </c>
      <c r="D140" s="271">
        <v>473727</v>
      </c>
      <c r="E140" s="271">
        <v>469106</v>
      </c>
      <c r="F140" s="271">
        <v>481702</v>
      </c>
      <c r="G140" s="271">
        <v>509301</v>
      </c>
      <c r="H140" s="271">
        <v>503288</v>
      </c>
      <c r="I140" s="271">
        <v>484526</v>
      </c>
      <c r="J140" s="271">
        <v>515575</v>
      </c>
      <c r="K140" s="271">
        <v>484963</v>
      </c>
      <c r="L140" s="271">
        <v>459298</v>
      </c>
      <c r="M140" s="271">
        <v>471510</v>
      </c>
      <c r="N140" s="271">
        <v>475329</v>
      </c>
      <c r="O140" s="271">
        <v>480982</v>
      </c>
      <c r="P140" s="271">
        <v>483782</v>
      </c>
      <c r="Q140" s="271">
        <v>498978</v>
      </c>
      <c r="R140" s="271">
        <v>490156</v>
      </c>
      <c r="S140" s="271">
        <v>491331</v>
      </c>
      <c r="T140" s="271">
        <v>489541</v>
      </c>
      <c r="U140" s="271">
        <v>487687</v>
      </c>
      <c r="V140" s="271">
        <v>488352</v>
      </c>
      <c r="W140" s="271">
        <v>488756</v>
      </c>
      <c r="X140" s="271">
        <v>488863</v>
      </c>
      <c r="Y140" s="271">
        <v>487688</v>
      </c>
      <c r="Z140" s="271">
        <v>486850</v>
      </c>
      <c r="AA140" s="271">
        <v>486530</v>
      </c>
      <c r="AB140" s="271">
        <v>484749</v>
      </c>
    </row>
    <row r="141" spans="1:28" x14ac:dyDescent="0.2">
      <c r="A141" s="314" t="s">
        <v>1288</v>
      </c>
      <c r="B141" s="314" t="s">
        <v>1357</v>
      </c>
      <c r="C141" s="271">
        <v>311386</v>
      </c>
      <c r="D141" s="271">
        <v>255681</v>
      </c>
      <c r="E141" s="271">
        <v>267283</v>
      </c>
      <c r="F141" s="271">
        <v>293547</v>
      </c>
      <c r="G141" s="271">
        <v>333689</v>
      </c>
      <c r="H141" s="271">
        <v>353735</v>
      </c>
      <c r="I141" s="271">
        <v>350699</v>
      </c>
      <c r="J141" s="271">
        <v>416896</v>
      </c>
      <c r="K141" s="271">
        <v>400627</v>
      </c>
      <c r="L141" s="271">
        <v>415210</v>
      </c>
      <c r="M141" s="271">
        <v>449425</v>
      </c>
      <c r="N141" s="271">
        <v>498234</v>
      </c>
      <c r="O141" s="271">
        <v>532499</v>
      </c>
      <c r="P141" s="271">
        <v>505768</v>
      </c>
      <c r="Q141" s="271">
        <v>542841</v>
      </c>
      <c r="R141" s="271">
        <v>560301</v>
      </c>
      <c r="S141" s="271">
        <v>582931</v>
      </c>
      <c r="T141" s="271">
        <v>602770</v>
      </c>
      <c r="U141" s="271">
        <v>612648</v>
      </c>
      <c r="V141" s="271">
        <v>626415</v>
      </c>
      <c r="W141" s="271">
        <v>637427</v>
      </c>
      <c r="X141" s="271">
        <v>649826</v>
      </c>
      <c r="Y141" s="271">
        <v>662020</v>
      </c>
      <c r="Z141" s="271">
        <v>675166</v>
      </c>
      <c r="AA141" s="271">
        <v>690291</v>
      </c>
      <c r="AB141" s="271">
        <v>706594</v>
      </c>
    </row>
    <row r="142" spans="1:28" x14ac:dyDescent="0.2">
      <c r="A142" s="314" t="s">
        <v>1406</v>
      </c>
      <c r="B142" s="314" t="s">
        <v>1357</v>
      </c>
      <c r="C142" s="271">
        <v>944157</v>
      </c>
      <c r="D142" s="271">
        <v>888382</v>
      </c>
      <c r="E142" s="271">
        <v>888925</v>
      </c>
      <c r="F142" s="271">
        <v>928774</v>
      </c>
      <c r="G142" s="271">
        <v>1000362</v>
      </c>
      <c r="H142" s="271">
        <v>1001706</v>
      </c>
      <c r="I142" s="271">
        <v>975179</v>
      </c>
      <c r="J142" s="271">
        <v>1068820</v>
      </c>
      <c r="K142" s="271">
        <v>1019816</v>
      </c>
      <c r="L142" s="271">
        <v>1004907</v>
      </c>
      <c r="M142" s="271">
        <v>1048485</v>
      </c>
      <c r="N142" s="271">
        <v>1099137</v>
      </c>
      <c r="O142" s="271">
        <v>1133625</v>
      </c>
      <c r="P142" s="271">
        <v>1104683</v>
      </c>
      <c r="Q142" s="271">
        <v>1158225</v>
      </c>
      <c r="R142" s="271">
        <v>1162560</v>
      </c>
      <c r="S142" s="271">
        <v>1185252</v>
      </c>
      <c r="T142" s="271">
        <v>1201096</v>
      </c>
      <c r="U142" s="271">
        <v>1207582</v>
      </c>
      <c r="V142" s="271">
        <v>1218148</v>
      </c>
      <c r="W142" s="271">
        <v>1228218</v>
      </c>
      <c r="X142" s="271">
        <v>1237339</v>
      </c>
      <c r="Y142" s="271">
        <v>1245817</v>
      </c>
      <c r="Z142" s="271">
        <v>1253539</v>
      </c>
      <c r="AA142" s="271">
        <v>1264700</v>
      </c>
      <c r="AB142" s="271">
        <v>1274976</v>
      </c>
    </row>
    <row r="143" spans="1:28" x14ac:dyDescent="0.2">
      <c r="A143" s="314" t="s">
        <v>1289</v>
      </c>
      <c r="B143" s="314" t="s">
        <v>1407</v>
      </c>
      <c r="C143" s="271">
        <v>7633526</v>
      </c>
      <c r="D143" s="271">
        <v>7201784</v>
      </c>
      <c r="E143" s="271">
        <v>7138563</v>
      </c>
      <c r="F143" s="271">
        <v>6933064</v>
      </c>
      <c r="G143" s="271">
        <v>6529108</v>
      </c>
      <c r="H143" s="271">
        <v>6151653</v>
      </c>
      <c r="I143" s="271">
        <v>5775613</v>
      </c>
      <c r="J143" s="271">
        <v>5619584</v>
      </c>
      <c r="K143" s="271">
        <v>5463253</v>
      </c>
      <c r="L143" s="271">
        <v>5751250</v>
      </c>
      <c r="M143" s="271">
        <v>5675520</v>
      </c>
      <c r="N143" s="271">
        <v>5449653</v>
      </c>
      <c r="O143" s="271">
        <v>5186134</v>
      </c>
      <c r="P143" s="271">
        <v>4840347</v>
      </c>
      <c r="Q143" s="271">
        <v>4809606</v>
      </c>
      <c r="R143" s="271">
        <v>5507356</v>
      </c>
      <c r="S143" s="271">
        <v>5658533</v>
      </c>
      <c r="T143" s="271">
        <v>5457880</v>
      </c>
      <c r="U143" s="271">
        <v>5415333</v>
      </c>
      <c r="V143" s="271">
        <v>5221143</v>
      </c>
      <c r="W143" s="271">
        <v>4226682</v>
      </c>
      <c r="X143" s="271">
        <v>4142891</v>
      </c>
      <c r="Y143" s="271">
        <v>3917081</v>
      </c>
      <c r="Z143" s="271">
        <v>3669003</v>
      </c>
      <c r="AA143" s="271">
        <v>3432641</v>
      </c>
      <c r="AB143" s="271">
        <v>3297457</v>
      </c>
    </row>
    <row r="144" spans="1:28" x14ac:dyDescent="0.2">
      <c r="A144" s="314" t="s">
        <v>1290</v>
      </c>
      <c r="B144" s="314" t="s">
        <v>1407</v>
      </c>
      <c r="C144" s="271">
        <v>19781581</v>
      </c>
      <c r="D144" s="271">
        <v>23276047</v>
      </c>
      <c r="E144" s="271">
        <v>19742086</v>
      </c>
      <c r="F144" s="271">
        <v>19843107</v>
      </c>
      <c r="G144" s="271">
        <v>21520667</v>
      </c>
      <c r="H144" s="271">
        <v>21002455</v>
      </c>
      <c r="I144" s="271">
        <v>18593770</v>
      </c>
      <c r="J144" s="271">
        <v>20557061</v>
      </c>
      <c r="K144" s="271">
        <v>18478344</v>
      </c>
      <c r="L144" s="271">
        <v>18310719</v>
      </c>
      <c r="M144" s="271">
        <v>17855560</v>
      </c>
      <c r="N144" s="271">
        <v>17911402</v>
      </c>
      <c r="O144" s="271">
        <v>17778463</v>
      </c>
      <c r="P144" s="271">
        <v>17258710</v>
      </c>
      <c r="Q144" s="271">
        <v>18283248</v>
      </c>
      <c r="R144" s="271">
        <v>16529118</v>
      </c>
      <c r="S144" s="271">
        <v>16027531</v>
      </c>
      <c r="T144" s="271">
        <v>15781496</v>
      </c>
      <c r="U144" s="271">
        <v>15672810</v>
      </c>
      <c r="V144" s="271">
        <v>15470934</v>
      </c>
      <c r="W144" s="271">
        <v>15324950</v>
      </c>
      <c r="X144" s="271">
        <v>15276929</v>
      </c>
      <c r="Y144" s="271">
        <v>14954949</v>
      </c>
      <c r="Z144" s="271">
        <v>14757332</v>
      </c>
      <c r="AA144" s="271">
        <v>14593093</v>
      </c>
      <c r="AB144" s="271">
        <v>14330139</v>
      </c>
    </row>
    <row r="145" spans="1:28" x14ac:dyDescent="0.2">
      <c r="A145" s="314" t="s">
        <v>1291</v>
      </c>
      <c r="B145" s="314" t="s">
        <v>1407</v>
      </c>
      <c r="C145" s="271">
        <v>18879865</v>
      </c>
      <c r="D145" s="271">
        <v>19509092</v>
      </c>
      <c r="E145" s="271">
        <v>20692674</v>
      </c>
      <c r="F145" s="271">
        <v>22630182</v>
      </c>
      <c r="G145" s="271">
        <v>25112436</v>
      </c>
      <c r="H145" s="271">
        <v>26044545</v>
      </c>
      <c r="I145" s="271">
        <v>26187536</v>
      </c>
      <c r="J145" s="271">
        <v>29460189</v>
      </c>
      <c r="K145" s="271">
        <v>28629388</v>
      </c>
      <c r="L145" s="271">
        <v>28796952</v>
      </c>
      <c r="M145" s="271">
        <v>31795871</v>
      </c>
      <c r="N145" s="271">
        <v>32706753</v>
      </c>
      <c r="O145" s="271">
        <v>34547274</v>
      </c>
      <c r="P145" s="271">
        <v>35071961</v>
      </c>
      <c r="Q145" s="271">
        <v>37261819</v>
      </c>
      <c r="R145" s="271">
        <v>38549089</v>
      </c>
      <c r="S145" s="271">
        <v>39944585</v>
      </c>
      <c r="T145" s="271">
        <v>41130155</v>
      </c>
      <c r="U145" s="271">
        <v>42020192</v>
      </c>
      <c r="V145" s="271">
        <v>42719579</v>
      </c>
      <c r="W145" s="271">
        <v>43452685</v>
      </c>
      <c r="X145" s="271">
        <v>44301673</v>
      </c>
      <c r="Y145" s="271">
        <v>45178843</v>
      </c>
      <c r="Z145" s="271">
        <v>46162568</v>
      </c>
      <c r="AA145" s="271">
        <v>46762321</v>
      </c>
      <c r="AB145" s="271">
        <v>47517936</v>
      </c>
    </row>
    <row r="146" spans="1:28" x14ac:dyDescent="0.2">
      <c r="A146" s="314" t="s">
        <v>1292</v>
      </c>
      <c r="B146" s="314" t="s">
        <v>1407</v>
      </c>
      <c r="C146" s="271">
        <v>1588111</v>
      </c>
      <c r="D146" s="271">
        <v>1636252</v>
      </c>
      <c r="E146" s="271">
        <v>1568685</v>
      </c>
      <c r="F146" s="271">
        <v>1608674</v>
      </c>
      <c r="G146" s="271">
        <v>1577809</v>
      </c>
      <c r="H146" s="271">
        <v>1445380</v>
      </c>
      <c r="I146" s="271">
        <v>1519625</v>
      </c>
      <c r="J146" s="271">
        <v>1570346</v>
      </c>
      <c r="K146" s="271">
        <v>1464019</v>
      </c>
      <c r="L146" s="271">
        <v>1458518</v>
      </c>
      <c r="M146" s="271">
        <v>1434091</v>
      </c>
      <c r="N146" s="271">
        <v>1393987</v>
      </c>
      <c r="O146" s="271">
        <v>1364545</v>
      </c>
      <c r="P146" s="271">
        <v>1366377</v>
      </c>
      <c r="Q146" s="271">
        <v>1422685</v>
      </c>
      <c r="R146" s="271">
        <v>1247011</v>
      </c>
      <c r="S146" s="271">
        <v>1247236</v>
      </c>
      <c r="T146" s="271">
        <v>1229031</v>
      </c>
      <c r="U146" s="271">
        <v>1146843</v>
      </c>
      <c r="V146" s="271">
        <v>1086696</v>
      </c>
      <c r="W146" s="271">
        <v>1078351</v>
      </c>
      <c r="X146" s="271">
        <v>1056628</v>
      </c>
      <c r="Y146" s="271">
        <v>1009288</v>
      </c>
      <c r="Z146" s="271">
        <v>973107</v>
      </c>
      <c r="AA146" s="271">
        <v>935595</v>
      </c>
      <c r="AB146" s="271">
        <v>895398</v>
      </c>
    </row>
    <row r="147" spans="1:28" x14ac:dyDescent="0.2">
      <c r="A147" s="315" t="s">
        <v>1408</v>
      </c>
      <c r="B147" s="315" t="s">
        <v>1407</v>
      </c>
      <c r="C147" s="273">
        <v>47883083</v>
      </c>
      <c r="D147" s="273">
        <v>51623175</v>
      </c>
      <c r="E147" s="273">
        <v>49142008</v>
      </c>
      <c r="F147" s="273">
        <v>51015027</v>
      </c>
      <c r="G147" s="273">
        <v>54740020</v>
      </c>
      <c r="H147" s="273">
        <v>54644033</v>
      </c>
      <c r="I147" s="273">
        <v>52076544</v>
      </c>
      <c r="J147" s="273">
        <v>57207180</v>
      </c>
      <c r="K147" s="273">
        <v>54035004</v>
      </c>
      <c r="L147" s="273">
        <v>54317439</v>
      </c>
      <c r="M147" s="273">
        <v>56761042</v>
      </c>
      <c r="N147" s="273">
        <v>57461795</v>
      </c>
      <c r="O147" s="273">
        <v>58876416</v>
      </c>
      <c r="P147" s="273">
        <v>58537395</v>
      </c>
      <c r="Q147" s="273">
        <v>61777358</v>
      </c>
      <c r="R147" s="273">
        <v>61832574</v>
      </c>
      <c r="S147" s="273">
        <v>62877885</v>
      </c>
      <c r="T147" s="273">
        <v>63598562</v>
      </c>
      <c r="U147" s="273">
        <v>64255178</v>
      </c>
      <c r="V147" s="273">
        <v>64498352</v>
      </c>
      <c r="W147" s="273">
        <v>64082668</v>
      </c>
      <c r="X147" s="273">
        <v>64778121</v>
      </c>
      <c r="Y147" s="273">
        <v>65060161</v>
      </c>
      <c r="Z147" s="273">
        <v>65562010</v>
      </c>
      <c r="AA147" s="273">
        <v>65723650</v>
      </c>
      <c r="AB147" s="273">
        <v>66040930</v>
      </c>
    </row>
    <row r="148" spans="1:28" x14ac:dyDescent="0.2">
      <c r="A148" s="312" t="s">
        <v>1293</v>
      </c>
      <c r="B148" s="301"/>
      <c r="C148" s="305"/>
      <c r="D148" s="305"/>
      <c r="E148" s="305"/>
      <c r="F148" s="305"/>
      <c r="G148" s="305"/>
      <c r="H148" s="305"/>
      <c r="I148" s="305"/>
      <c r="J148" s="305"/>
      <c r="K148" s="305"/>
      <c r="L148" s="305"/>
      <c r="M148" s="305"/>
      <c r="N148" s="305"/>
      <c r="O148" s="305"/>
      <c r="P148" s="305"/>
      <c r="Q148" s="305"/>
      <c r="R148" s="305"/>
      <c r="S148" s="305"/>
      <c r="T148" s="305"/>
      <c r="U148" s="305"/>
      <c r="V148" s="305"/>
      <c r="W148" s="305"/>
      <c r="X148" s="305"/>
      <c r="Y148" s="305"/>
      <c r="Z148" s="305"/>
      <c r="AA148" s="305"/>
      <c r="AB148" s="306"/>
    </row>
    <row r="149" spans="1:28" x14ac:dyDescent="0.2">
      <c r="A149" s="313" t="s">
        <v>1294</v>
      </c>
      <c r="B149" s="313" t="s">
        <v>1356</v>
      </c>
      <c r="C149" s="269">
        <v>4634.551227610239</v>
      </c>
      <c r="D149" s="269">
        <v>4675.5287879795706</v>
      </c>
      <c r="E149" s="269">
        <v>4602.8756584420162</v>
      </c>
      <c r="F149" s="269">
        <v>4832.3342646478477</v>
      </c>
      <c r="G149" s="269">
        <v>5210.3567837569526</v>
      </c>
      <c r="H149" s="269">
        <v>5094.4060470041095</v>
      </c>
      <c r="I149" s="269">
        <v>5077.8561296161197</v>
      </c>
      <c r="J149" s="269">
        <v>5196.2494164305599</v>
      </c>
      <c r="K149" s="269">
        <v>5447.1323241220625</v>
      </c>
      <c r="L149" s="269">
        <v>5286.9679368048646</v>
      </c>
      <c r="M149" s="269">
        <v>5357.0027307137007</v>
      </c>
      <c r="N149" s="269">
        <v>5507.5726094454631</v>
      </c>
      <c r="O149" s="269">
        <v>5691.7807846955402</v>
      </c>
      <c r="P149" s="269">
        <v>5610.5994423999373</v>
      </c>
      <c r="Q149" s="269">
        <v>5769.3828978613828</v>
      </c>
      <c r="R149" s="269">
        <v>5879.0441329171554</v>
      </c>
      <c r="S149" s="269">
        <v>6059.1670099986504</v>
      </c>
      <c r="T149" s="269">
        <v>3913.8803161251049</v>
      </c>
      <c r="U149" s="269">
        <v>4054.7866383913624</v>
      </c>
      <c r="V149" s="269">
        <v>3961.1253771202614</v>
      </c>
      <c r="W149" s="269">
        <v>3963.6119592779014</v>
      </c>
      <c r="X149" s="269">
        <v>3971.9830873976875</v>
      </c>
      <c r="Y149" s="269">
        <v>3827.1634988819537</v>
      </c>
      <c r="Z149" s="269">
        <v>3919.326807598803</v>
      </c>
      <c r="AA149" s="269">
        <v>4171.7545686266994</v>
      </c>
      <c r="AB149" s="269">
        <v>4025.9435696132564</v>
      </c>
    </row>
    <row r="150" spans="1:28" x14ac:dyDescent="0.2">
      <c r="A150" s="314" t="s">
        <v>1295</v>
      </c>
      <c r="B150" s="314" t="s">
        <v>1356</v>
      </c>
      <c r="C150" s="271">
        <v>16913.14325260976</v>
      </c>
      <c r="D150" s="271">
        <v>17062.685099194619</v>
      </c>
      <c r="E150" s="271">
        <v>16797.547715385252</v>
      </c>
      <c r="F150" s="271">
        <v>17634.924645039893</v>
      </c>
      <c r="G150" s="271">
        <v>19014.464692049249</v>
      </c>
      <c r="H150" s="271">
        <v>18591.318776806515</v>
      </c>
      <c r="I150" s="271">
        <v>18530.92217962697</v>
      </c>
      <c r="J150" s="271">
        <v>18962.981837984109</v>
      </c>
      <c r="K150" s="271">
        <v>19878.543744418279</v>
      </c>
      <c r="L150" s="271">
        <v>19294.04632630277</v>
      </c>
      <c r="M150" s="271">
        <v>19549.628462279707</v>
      </c>
      <c r="N150" s="271">
        <v>20099.112069958268</v>
      </c>
      <c r="O150" s="271">
        <v>20771.353912436058</v>
      </c>
      <c r="P150" s="271">
        <v>20475.09401492864</v>
      </c>
      <c r="Q150" s="271">
        <v>21054.551916346329</v>
      </c>
      <c r="R150" s="271">
        <v>21454.745179225149</v>
      </c>
      <c r="S150" s="271">
        <v>22112.078300283869</v>
      </c>
      <c r="T150" s="271">
        <v>14283.156061763244</v>
      </c>
      <c r="U150" s="271">
        <v>14797.373878472212</v>
      </c>
      <c r="V150" s="271">
        <v>14455.570270895074</v>
      </c>
      <c r="W150" s="271">
        <v>14464.644702954643</v>
      </c>
      <c r="X150" s="271">
        <v>14495.193958345846</v>
      </c>
      <c r="Y150" s="271">
        <v>13966.695226525037</v>
      </c>
      <c r="Z150" s="271">
        <v>14303.03226681412</v>
      </c>
      <c r="AA150" s="271">
        <v>15224.231898348195</v>
      </c>
      <c r="AB150" s="271">
        <v>14692.115153272938</v>
      </c>
    </row>
    <row r="151" spans="1:28" x14ac:dyDescent="0.2">
      <c r="A151" s="314" t="s">
        <v>1296</v>
      </c>
      <c r="B151" s="314" t="s">
        <v>1356</v>
      </c>
      <c r="C151" s="271">
        <v>9040.1158374409624</v>
      </c>
      <c r="D151" s="271">
        <v>9120.0463149093284</v>
      </c>
      <c r="E151" s="271">
        <v>8978.3297441528612</v>
      </c>
      <c r="F151" s="271">
        <v>9425.9097315399213</v>
      </c>
      <c r="G151" s="271">
        <v>10163.277212030514</v>
      </c>
      <c r="H151" s="271">
        <v>9937.1047003453168</v>
      </c>
      <c r="I151" s="271">
        <v>9904.822573567606</v>
      </c>
      <c r="J151" s="271">
        <v>10135.759502433919</v>
      </c>
      <c r="K151" s="271">
        <v>10625.129548373548</v>
      </c>
      <c r="L151" s="271">
        <v>10312.714269467067</v>
      </c>
      <c r="M151" s="271">
        <v>10449.323537224293</v>
      </c>
      <c r="N151" s="271">
        <v>10743.023850051872</v>
      </c>
      <c r="O151" s="271">
        <v>11102.338735286834</v>
      </c>
      <c r="P151" s="271">
        <v>10943.987105938329</v>
      </c>
      <c r="Q151" s="271">
        <v>11253.708751022134</v>
      </c>
      <c r="R151" s="271">
        <v>11467.613014691738</v>
      </c>
      <c r="S151" s="271">
        <v>11818.959152390918</v>
      </c>
      <c r="T151" s="271">
        <v>7634.38134438215</v>
      </c>
      <c r="U151" s="271">
        <v>7909.2320069287325</v>
      </c>
      <c r="V151" s="271">
        <v>7726.5371547654158</v>
      </c>
      <c r="W151" s="271">
        <v>7731.3874605750616</v>
      </c>
      <c r="X151" s="271">
        <v>7747.7161112202602</v>
      </c>
      <c r="Y151" s="271">
        <v>7465.2322651224285</v>
      </c>
      <c r="Z151" s="271">
        <v>7645.0052238931885</v>
      </c>
      <c r="AA151" s="271">
        <v>8137.3886474883839</v>
      </c>
      <c r="AB151" s="271">
        <v>7852.970964584877</v>
      </c>
    </row>
    <row r="152" spans="1:28" x14ac:dyDescent="0.2">
      <c r="A152" s="314" t="s">
        <v>1297</v>
      </c>
      <c r="B152" s="314" t="s">
        <v>1356</v>
      </c>
      <c r="C152" s="271">
        <v>5066.9885209610411</v>
      </c>
      <c r="D152" s="271">
        <v>5111.7895853599894</v>
      </c>
      <c r="E152" s="271">
        <v>5032.3573911087869</v>
      </c>
      <c r="F152" s="271">
        <v>5283.2261519834374</v>
      </c>
      <c r="G152" s="271">
        <v>5696.5209179533213</v>
      </c>
      <c r="H152" s="271">
        <v>5569.7511352344491</v>
      </c>
      <c r="I152" s="271">
        <v>5551.6569903411491</v>
      </c>
      <c r="J152" s="271">
        <v>5681.0972307842239</v>
      </c>
      <c r="K152" s="271">
        <v>5955.3893360920474</v>
      </c>
      <c r="L152" s="271">
        <v>5780.2804480581417</v>
      </c>
      <c r="M152" s="271">
        <v>5856.8499969477607</v>
      </c>
      <c r="N152" s="271">
        <v>6021.4691390539401</v>
      </c>
      <c r="O152" s="271">
        <v>6222.8652750808178</v>
      </c>
      <c r="P152" s="271">
        <v>6134.1091238751842</v>
      </c>
      <c r="Q152" s="271">
        <v>6307.708229080572</v>
      </c>
      <c r="R152" s="271">
        <v>6427.6016539092207</v>
      </c>
      <c r="S152" s="271">
        <v>6624.5313037741607</v>
      </c>
      <c r="T152" s="271">
        <v>4279.0737787242542</v>
      </c>
      <c r="U152" s="271">
        <v>4433.1276843538863</v>
      </c>
      <c r="V152" s="271">
        <v>4330.7271470824244</v>
      </c>
      <c r="W152" s="271">
        <v>4333.4457454170652</v>
      </c>
      <c r="X152" s="271">
        <v>4342.5979605954744</v>
      </c>
      <c r="Y152" s="271">
        <v>4184.2656525506454</v>
      </c>
      <c r="Z152" s="271">
        <v>4285.028467413923</v>
      </c>
      <c r="AA152" s="271">
        <v>4561.0095720957179</v>
      </c>
      <c r="AB152" s="271">
        <v>4401.5933477524732</v>
      </c>
    </row>
    <row r="153" spans="1:28" x14ac:dyDescent="0.2">
      <c r="A153" s="314" t="s">
        <v>1298</v>
      </c>
      <c r="B153" s="314" t="s">
        <v>1356</v>
      </c>
      <c r="C153" s="271">
        <v>2975.8504011993409</v>
      </c>
      <c r="D153" s="271">
        <v>3002.1621374336441</v>
      </c>
      <c r="E153" s="271">
        <v>2955.511483667065</v>
      </c>
      <c r="F153" s="271">
        <v>3102.8471051331294</v>
      </c>
      <c r="G153" s="271">
        <v>3345.5757772106799</v>
      </c>
      <c r="H153" s="271">
        <v>3271.1236825980091</v>
      </c>
      <c r="I153" s="271">
        <v>3260.4969625813092</v>
      </c>
      <c r="J153" s="271">
        <v>3336.5174212542261</v>
      </c>
      <c r="K153" s="271">
        <v>3497.6096100858053</v>
      </c>
      <c r="L153" s="271">
        <v>3394.7678821928766</v>
      </c>
      <c r="M153" s="271">
        <v>3439.7372997947164</v>
      </c>
      <c r="N153" s="271">
        <v>3536.4183832539011</v>
      </c>
      <c r="O153" s="271">
        <v>3654.6986536188924</v>
      </c>
      <c r="P153" s="271">
        <v>3602.572025133044</v>
      </c>
      <c r="Q153" s="271">
        <v>3704.5270551743038</v>
      </c>
      <c r="R153" s="271">
        <v>3774.9406538831927</v>
      </c>
      <c r="S153" s="271">
        <v>3890.5977498356178</v>
      </c>
      <c r="T153" s="271">
        <v>2513.1068224253549</v>
      </c>
      <c r="U153" s="271">
        <v>2603.5829257316468</v>
      </c>
      <c r="V153" s="271">
        <v>2543.4429276515821</v>
      </c>
      <c r="W153" s="271">
        <v>2545.0395647687524</v>
      </c>
      <c r="X153" s="271">
        <v>1859.826175018809</v>
      </c>
      <c r="Y153" s="271">
        <v>1812.1351801869687</v>
      </c>
      <c r="Z153" s="271">
        <v>1488.9925012225592</v>
      </c>
      <c r="AA153" s="271">
        <v>1512.5533685491857</v>
      </c>
      <c r="AB153" s="271">
        <v>4328</v>
      </c>
    </row>
    <row r="154" spans="1:28" x14ac:dyDescent="0.2">
      <c r="A154" s="314" t="s">
        <v>1299</v>
      </c>
      <c r="B154" s="314" t="s">
        <v>1356</v>
      </c>
      <c r="C154" s="271">
        <v>15328.550876818888</v>
      </c>
      <c r="D154" s="271">
        <v>15464.082147934669</v>
      </c>
      <c r="E154" s="271">
        <v>15223.785485370692</v>
      </c>
      <c r="F154" s="271">
        <v>15982.708571255687</v>
      </c>
      <c r="G154" s="271">
        <v>17232.999512528775</v>
      </c>
      <c r="H154" s="271">
        <v>16849.498137696188</v>
      </c>
      <c r="I154" s="271">
        <v>16794.76009765088</v>
      </c>
      <c r="J154" s="271">
        <v>17186.340087013676</v>
      </c>
      <c r="K154" s="271">
        <v>18016.122999275591</v>
      </c>
      <c r="L154" s="271">
        <v>17486.387143726068</v>
      </c>
      <c r="M154" s="271">
        <v>17718.023789618248</v>
      </c>
      <c r="N154" s="271">
        <v>18216.026278598478</v>
      </c>
      <c r="O154" s="271">
        <v>18825.285783472431</v>
      </c>
      <c r="P154" s="271">
        <v>18556.78247549017</v>
      </c>
      <c r="Q154" s="271">
        <v>19081.950966656656</v>
      </c>
      <c r="R154" s="271">
        <v>19444.650123104209</v>
      </c>
      <c r="S154" s="271">
        <v>20040.397704655141</v>
      </c>
      <c r="T154" s="271">
        <v>12944.967183465364</v>
      </c>
      <c r="U154" s="271">
        <v>13411.007933399525</v>
      </c>
      <c r="V154" s="271">
        <v>13101.227905502112</v>
      </c>
      <c r="W154" s="271">
        <v>13109.452154030361</v>
      </c>
      <c r="X154" s="271">
        <v>13137.139249712041</v>
      </c>
      <c r="Y154" s="271">
        <v>12658.155563589738</v>
      </c>
      <c r="Z154" s="271">
        <v>12962.981186883291</v>
      </c>
      <c r="AA154" s="271">
        <v>13797.873625785682</v>
      </c>
      <c r="AB154" s="271">
        <v>13315.61089806742</v>
      </c>
    </row>
    <row r="155" spans="1:28" x14ac:dyDescent="0.2">
      <c r="A155" s="314" t="s">
        <v>1300</v>
      </c>
      <c r="B155" s="314" t="s">
        <v>1356</v>
      </c>
      <c r="C155" s="271">
        <v>6886.7402490055865</v>
      </c>
      <c r="D155" s="271">
        <v>6947.6311099416616</v>
      </c>
      <c r="E155" s="271">
        <v>6839.6717398042229</v>
      </c>
      <c r="F155" s="271">
        <v>7180.6371841873361</v>
      </c>
      <c r="G155" s="271">
        <v>7742.3620998317674</v>
      </c>
      <c r="H155" s="271">
        <v>7570.0643807040824</v>
      </c>
      <c r="I155" s="271">
        <v>7545.4719279301034</v>
      </c>
      <c r="J155" s="271">
        <v>7721.399169527881</v>
      </c>
      <c r="K155" s="271">
        <v>8094.2001880803355</v>
      </c>
      <c r="L155" s="271">
        <v>7856.2029196450439</v>
      </c>
      <c r="M155" s="271">
        <v>7960.2715576545734</v>
      </c>
      <c r="N155" s="271">
        <v>8184.011806326851</v>
      </c>
      <c r="O155" s="271">
        <v>8457.7370911252929</v>
      </c>
      <c r="P155" s="271">
        <v>8337.1051701477554</v>
      </c>
      <c r="Q155" s="271">
        <v>8573.0504342950171</v>
      </c>
      <c r="R155" s="271">
        <v>8736.0022292207304</v>
      </c>
      <c r="S155" s="271">
        <v>9003.656939772598</v>
      </c>
      <c r="T155" s="271">
        <v>5815.8548215569017</v>
      </c>
      <c r="U155" s="271">
        <v>6025.2354483389163</v>
      </c>
      <c r="V155" s="271">
        <v>5886.058914066165</v>
      </c>
      <c r="W155" s="271">
        <v>5889.7538663034957</v>
      </c>
      <c r="X155" s="271">
        <v>4304.0267650867618</v>
      </c>
      <c r="Y155" s="271">
        <v>4193.6598281294519</v>
      </c>
      <c r="Z155" s="271">
        <v>3445.8400813778017</v>
      </c>
      <c r="AA155" s="271">
        <v>3500.364856297389</v>
      </c>
      <c r="AB155" s="271">
        <v>12060</v>
      </c>
    </row>
    <row r="156" spans="1:28" x14ac:dyDescent="0.2">
      <c r="A156" s="314" t="s">
        <v>1301</v>
      </c>
      <c r="B156" s="314" t="s">
        <v>1356</v>
      </c>
      <c r="C156" s="271">
        <v>45998.999771106442</v>
      </c>
      <c r="D156" s="271">
        <v>46405.711596583729</v>
      </c>
      <c r="E156" s="271">
        <v>45684.612373630189</v>
      </c>
      <c r="F156" s="271">
        <v>47962.042453906368</v>
      </c>
      <c r="G156" s="271">
        <v>51714.003952655214</v>
      </c>
      <c r="H156" s="271">
        <v>50563.165899214626</v>
      </c>
      <c r="I156" s="271">
        <v>50398.904116626771</v>
      </c>
      <c r="J156" s="271">
        <v>51573.985048008799</v>
      </c>
      <c r="K156" s="271">
        <v>54064.056307708008</v>
      </c>
      <c r="L156" s="271">
        <v>52474.387480303085</v>
      </c>
      <c r="M156" s="271">
        <v>53169.499112641912</v>
      </c>
      <c r="N156" s="271">
        <v>54663.940208913758</v>
      </c>
      <c r="O156" s="271">
        <v>56492.249228497829</v>
      </c>
      <c r="P156" s="271">
        <v>55686.505508711809</v>
      </c>
      <c r="Q156" s="271">
        <v>57262.4682659932</v>
      </c>
      <c r="R156" s="271">
        <v>58350.881551011691</v>
      </c>
      <c r="S156" s="271">
        <v>60138.643035291381</v>
      </c>
      <c r="T156" s="271">
        <v>38846.173215871386</v>
      </c>
      <c r="U156" s="271">
        <v>40244.701264727402</v>
      </c>
      <c r="V156" s="271">
        <v>39315.09144401722</v>
      </c>
      <c r="W156" s="271">
        <v>39339.771350761745</v>
      </c>
      <c r="X156" s="271">
        <v>39422.856745993093</v>
      </c>
      <c r="Y156" s="271">
        <v>37985.488618675634</v>
      </c>
      <c r="Z156" s="271">
        <v>38900.23091158946</v>
      </c>
      <c r="AA156" s="271">
        <v>41405.635200265417</v>
      </c>
      <c r="AB156" s="271">
        <v>39958.427092976322</v>
      </c>
    </row>
    <row r="157" spans="1:28" x14ac:dyDescent="0.2">
      <c r="A157" s="314" t="s">
        <v>1302</v>
      </c>
      <c r="B157" s="314" t="s">
        <v>1356</v>
      </c>
      <c r="C157" s="271">
        <v>40791.565834754765</v>
      </c>
      <c r="D157" s="271">
        <v>41152.234812064809</v>
      </c>
      <c r="E157" s="271">
        <v>40512.769463407894</v>
      </c>
      <c r="F157" s="271">
        <v>42532.377270445264</v>
      </c>
      <c r="G157" s="271">
        <v>45859.588410845179</v>
      </c>
      <c r="H157" s="271">
        <v>44839.033910624283</v>
      </c>
      <c r="I157" s="271">
        <v>44693.367801536937</v>
      </c>
      <c r="J157" s="271">
        <v>45735.420702951189</v>
      </c>
      <c r="K157" s="271">
        <v>47943.597103061809</v>
      </c>
      <c r="L157" s="271">
        <v>46533.890784419717</v>
      </c>
      <c r="M157" s="271">
        <v>47150.310533852251</v>
      </c>
      <c r="N157" s="271">
        <v>48475.569619225404</v>
      </c>
      <c r="O157" s="271">
        <v>50096.900259233917</v>
      </c>
      <c r="P157" s="271">
        <v>49382.372809612352</v>
      </c>
      <c r="Q157" s="271">
        <v>50779.924688710948</v>
      </c>
      <c r="R157" s="271">
        <v>51745.121375425457</v>
      </c>
      <c r="S157" s="271">
        <v>53330.494767145181</v>
      </c>
      <c r="T157" s="271">
        <v>34448.493229168955</v>
      </c>
      <c r="U157" s="271">
        <v>35688.697347965805</v>
      </c>
      <c r="V157" s="271">
        <v>34864.326374883196</v>
      </c>
      <c r="W157" s="271">
        <v>34886.212329920789</v>
      </c>
      <c r="X157" s="271">
        <v>25493.627579163367</v>
      </c>
      <c r="Y157" s="271">
        <v>24839.901721632377</v>
      </c>
      <c r="Z157" s="271">
        <v>20410.412975261508</v>
      </c>
      <c r="AA157" s="271">
        <v>20733.374327851903</v>
      </c>
      <c r="AB157" s="271">
        <v>8144</v>
      </c>
    </row>
    <row r="158" spans="1:28" x14ac:dyDescent="0.2">
      <c r="A158" s="315" t="s">
        <v>1303</v>
      </c>
      <c r="B158" s="315" t="s">
        <v>1356</v>
      </c>
      <c r="C158" s="273">
        <v>19504.831092762266</v>
      </c>
      <c r="D158" s="273">
        <v>19677.288004843787</v>
      </c>
      <c r="E158" s="273">
        <v>19371.522257440174</v>
      </c>
      <c r="F158" s="273">
        <v>20337.214756459798</v>
      </c>
      <c r="G158" s="273">
        <v>21928.148812934895</v>
      </c>
      <c r="H158" s="273">
        <v>21440.162074980177</v>
      </c>
      <c r="I158" s="273">
        <v>21370.510596897722</v>
      </c>
      <c r="J158" s="273">
        <v>21868.776976622979</v>
      </c>
      <c r="K158" s="273">
        <v>22924.635138127665</v>
      </c>
      <c r="L158" s="273">
        <v>22250.572177492628</v>
      </c>
      <c r="M158" s="273">
        <v>22545.318477343681</v>
      </c>
      <c r="N158" s="273">
        <v>23179.002281467921</v>
      </c>
      <c r="O158" s="273">
        <v>23954.255195440215</v>
      </c>
      <c r="P158" s="273">
        <v>23612.597871657446</v>
      </c>
      <c r="Q158" s="273">
        <v>24280.849084558071</v>
      </c>
      <c r="R158" s="273">
        <v>24742.366017296663</v>
      </c>
      <c r="S158" s="273">
        <v>25500.425669865985</v>
      </c>
      <c r="T158" s="273">
        <v>16471.837451815351</v>
      </c>
      <c r="U158" s="273">
        <v>17064.851506624458</v>
      </c>
      <c r="V158" s="273">
        <v>16670.671576074874</v>
      </c>
      <c r="W158" s="273">
        <v>16681.136529983272</v>
      </c>
      <c r="X158" s="273">
        <v>16716.36700473983</v>
      </c>
      <c r="Y158" s="273">
        <v>16106.883696821094</v>
      </c>
      <c r="Z158" s="273">
        <v>16494.75938988991</v>
      </c>
      <c r="AA158" s="273">
        <v>17557.119174078132</v>
      </c>
      <c r="AB158" s="273">
        <v>16943.463446144662</v>
      </c>
    </row>
    <row r="159" spans="1:28" x14ac:dyDescent="0.2">
      <c r="A159" s="312" t="s">
        <v>1304</v>
      </c>
      <c r="B159" s="301"/>
      <c r="C159" s="305"/>
      <c r="D159" s="305"/>
      <c r="E159" s="305"/>
      <c r="F159" s="305"/>
      <c r="G159" s="305"/>
      <c r="H159" s="305"/>
      <c r="I159" s="305"/>
      <c r="J159" s="305"/>
      <c r="K159" s="305"/>
      <c r="L159" s="305"/>
      <c r="M159" s="305"/>
      <c r="N159" s="305"/>
      <c r="O159" s="305"/>
      <c r="P159" s="305"/>
      <c r="Q159" s="305"/>
      <c r="R159" s="305"/>
      <c r="S159" s="305"/>
      <c r="T159" s="305"/>
      <c r="U159" s="305"/>
      <c r="V159" s="305"/>
      <c r="W159" s="305"/>
      <c r="X159" s="305"/>
      <c r="Y159" s="305"/>
      <c r="Z159" s="305"/>
      <c r="AA159" s="305"/>
      <c r="AB159" s="306"/>
    </row>
    <row r="160" spans="1:28" x14ac:dyDescent="0.2">
      <c r="A160" s="313" t="s">
        <v>1305</v>
      </c>
      <c r="B160" s="313" t="s">
        <v>1409</v>
      </c>
      <c r="C160" s="269">
        <v>39214235.450000003</v>
      </c>
      <c r="D160" s="269">
        <v>40165941.449999996</v>
      </c>
      <c r="E160" s="269">
        <v>40730299.109999999</v>
      </c>
      <c r="F160" s="269">
        <v>41127972.129999995</v>
      </c>
      <c r="G160" s="269">
        <v>41840912.429999992</v>
      </c>
      <c r="H160" s="269">
        <v>42633445.839999996</v>
      </c>
      <c r="I160" s="269">
        <v>43430787.340000004</v>
      </c>
      <c r="J160" s="269">
        <v>44184846.980000004</v>
      </c>
      <c r="K160" s="269">
        <v>45085084.410000004</v>
      </c>
      <c r="L160" s="269">
        <v>45874915.190000005</v>
      </c>
      <c r="M160" s="269">
        <v>46682526.400000006</v>
      </c>
      <c r="N160" s="269">
        <v>47499263.720000006</v>
      </c>
      <c r="O160" s="269">
        <v>48213748.330000006</v>
      </c>
      <c r="P160" s="269">
        <v>48833118.529999994</v>
      </c>
      <c r="Q160" s="269">
        <v>49393447.479999989</v>
      </c>
      <c r="R160" s="269">
        <v>50371424.009999998</v>
      </c>
      <c r="S160" s="269">
        <v>50803342.340000004</v>
      </c>
      <c r="T160" s="269">
        <v>51469798.660000004</v>
      </c>
      <c r="U160" s="269">
        <v>51671972.689999998</v>
      </c>
      <c r="V160" s="269">
        <v>51818178.259999998</v>
      </c>
      <c r="W160" s="269">
        <v>51979220.839999996</v>
      </c>
      <c r="X160" s="269">
        <v>52304182.660000004</v>
      </c>
      <c r="Y160" s="269">
        <v>52645216.579999998</v>
      </c>
      <c r="Z160" s="269">
        <v>52991568.639999993</v>
      </c>
      <c r="AA160" s="269">
        <v>53339362.879999995</v>
      </c>
      <c r="AB160" s="269">
        <v>53339362.879999995</v>
      </c>
    </row>
    <row r="161" spans="1:28" x14ac:dyDescent="0.2">
      <c r="A161" s="315" t="s">
        <v>1306</v>
      </c>
      <c r="B161" s="315" t="s">
        <v>1354</v>
      </c>
      <c r="C161" s="273">
        <v>4454621</v>
      </c>
      <c r="D161" s="273">
        <v>4573781</v>
      </c>
      <c r="E161" s="273">
        <v>4619315</v>
      </c>
      <c r="F161" s="273">
        <v>4674572</v>
      </c>
      <c r="G161" s="273">
        <v>4736845</v>
      </c>
      <c r="H161" s="273">
        <v>4845898</v>
      </c>
      <c r="I161" s="273">
        <v>4926276</v>
      </c>
      <c r="J161" s="273">
        <v>4996264</v>
      </c>
      <c r="K161" s="273">
        <v>5270688</v>
      </c>
      <c r="L161" s="273">
        <v>5238520</v>
      </c>
      <c r="M161" s="273">
        <v>5231069</v>
      </c>
      <c r="N161" s="273">
        <v>5213472</v>
      </c>
      <c r="O161" s="273">
        <v>5270299</v>
      </c>
      <c r="P161" s="273">
        <v>5357691</v>
      </c>
      <c r="Q161" s="273">
        <v>5349007</v>
      </c>
      <c r="R161" s="273">
        <v>5404251</v>
      </c>
      <c r="S161" s="273">
        <v>5467209</v>
      </c>
      <c r="T161" s="273">
        <v>5507074</v>
      </c>
      <c r="U161" s="273">
        <v>5669379</v>
      </c>
      <c r="V161" s="273">
        <v>5529956</v>
      </c>
      <c r="W161" s="273">
        <v>5494306</v>
      </c>
      <c r="X161" s="273">
        <v>5509118</v>
      </c>
      <c r="Y161" s="273">
        <v>5545769</v>
      </c>
      <c r="Z161" s="273">
        <v>5564810</v>
      </c>
      <c r="AA161" s="273">
        <v>5611121</v>
      </c>
      <c r="AB161" s="273">
        <v>5611121</v>
      </c>
    </row>
    <row r="162" spans="1:28" x14ac:dyDescent="0.2">
      <c r="A162" s="320" t="s">
        <v>1307</v>
      </c>
      <c r="B162" s="321"/>
      <c r="C162" s="275"/>
      <c r="D162" s="275"/>
      <c r="E162" s="275"/>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6"/>
    </row>
    <row r="163" spans="1:28" x14ac:dyDescent="0.2">
      <c r="A163" s="312" t="s">
        <v>1244</v>
      </c>
      <c r="B163" s="301"/>
      <c r="C163" s="305"/>
      <c r="D163" s="305"/>
      <c r="E163" s="305"/>
      <c r="F163" s="305"/>
      <c r="G163" s="305"/>
      <c r="H163" s="305"/>
      <c r="I163" s="305"/>
      <c r="J163" s="305"/>
      <c r="K163" s="305"/>
      <c r="L163" s="305"/>
      <c r="M163" s="305"/>
      <c r="N163" s="305"/>
      <c r="O163" s="305"/>
      <c r="P163" s="305"/>
      <c r="Q163" s="305"/>
      <c r="R163" s="305"/>
      <c r="S163" s="305"/>
      <c r="T163" s="305"/>
      <c r="U163" s="305"/>
      <c r="V163" s="305"/>
      <c r="W163" s="305"/>
      <c r="X163" s="305"/>
      <c r="Y163" s="305"/>
      <c r="Z163" s="305"/>
      <c r="AA163" s="305"/>
      <c r="AB163" s="306"/>
    </row>
    <row r="164" spans="1:28" ht="24" x14ac:dyDescent="0.2">
      <c r="A164" s="313" t="s">
        <v>1309</v>
      </c>
      <c r="B164" s="313" t="s">
        <v>1410</v>
      </c>
      <c r="C164" s="269">
        <v>944157</v>
      </c>
      <c r="D164" s="269">
        <v>888382</v>
      </c>
      <c r="E164" s="269">
        <v>888925</v>
      </c>
      <c r="F164" s="269">
        <v>928774</v>
      </c>
      <c r="G164" s="269">
        <v>1000362</v>
      </c>
      <c r="H164" s="269">
        <v>1001706</v>
      </c>
      <c r="I164" s="269">
        <v>975179</v>
      </c>
      <c r="J164" s="269">
        <v>1068820</v>
      </c>
      <c r="K164" s="269">
        <v>1019816</v>
      </c>
      <c r="L164" s="269">
        <v>1004907</v>
      </c>
      <c r="M164" s="269">
        <v>1048485</v>
      </c>
      <c r="N164" s="269">
        <v>1099137</v>
      </c>
      <c r="O164" s="269">
        <v>1133625</v>
      </c>
      <c r="P164" s="269">
        <v>1104683</v>
      </c>
      <c r="Q164" s="269">
        <v>1158225</v>
      </c>
      <c r="R164" s="269">
        <v>1162560</v>
      </c>
      <c r="S164" s="269">
        <v>1185252</v>
      </c>
      <c r="T164" s="269">
        <v>1201096</v>
      </c>
      <c r="U164" s="269">
        <v>1207582</v>
      </c>
      <c r="V164" s="269">
        <v>1218148</v>
      </c>
      <c r="W164" s="269">
        <v>1228218</v>
      </c>
      <c r="X164" s="269">
        <v>1237339</v>
      </c>
      <c r="Y164" s="269">
        <v>1245817</v>
      </c>
      <c r="Z164" s="269">
        <v>1253539</v>
      </c>
      <c r="AA164" s="269">
        <v>1264700</v>
      </c>
      <c r="AB164" s="269">
        <v>1274976</v>
      </c>
    </row>
    <row r="165" spans="1:28" x14ac:dyDescent="0.2">
      <c r="A165" s="315" t="s">
        <v>1310</v>
      </c>
      <c r="B165" s="315" t="s">
        <v>1357</v>
      </c>
      <c r="C165" s="273">
        <v>1546955.1085227272</v>
      </c>
      <c r="D165" s="273">
        <v>1560632.904545455</v>
      </c>
      <c r="E165" s="273">
        <v>1536382.2005681819</v>
      </c>
      <c r="F165" s="273">
        <v>1612972.6071969699</v>
      </c>
      <c r="G165" s="273">
        <v>1739151.7857954549</v>
      </c>
      <c r="H165" s="273">
        <v>1700448.883238636</v>
      </c>
      <c r="I165" s="273">
        <v>1694924.728257576</v>
      </c>
      <c r="J165" s="273">
        <v>1734442.9234090908</v>
      </c>
      <c r="K165" s="273">
        <v>1818184.4933333332</v>
      </c>
      <c r="L165" s="273">
        <v>1764723.6284090909</v>
      </c>
      <c r="M165" s="273">
        <v>1788100.364772727</v>
      </c>
      <c r="N165" s="273">
        <v>1838358.7029924241</v>
      </c>
      <c r="O165" s="273">
        <v>1899845.082954545</v>
      </c>
      <c r="P165" s="273">
        <v>1872747.7684545452</v>
      </c>
      <c r="Q165" s="273">
        <v>1925747.6956344699</v>
      </c>
      <c r="R165" s="273">
        <v>1962351.2413598481</v>
      </c>
      <c r="S165" s="273">
        <v>2022474</v>
      </c>
      <c r="T165" s="273">
        <v>2025731</v>
      </c>
      <c r="U165" s="273">
        <v>2075191</v>
      </c>
      <c r="V165" s="273">
        <v>2086689</v>
      </c>
      <c r="W165" s="273">
        <v>2102366</v>
      </c>
      <c r="X165" s="273">
        <v>2121105</v>
      </c>
      <c r="Y165" s="273">
        <v>2137769</v>
      </c>
      <c r="Z165" s="273">
        <v>2149598</v>
      </c>
      <c r="AA165" s="273">
        <v>2169156</v>
      </c>
      <c r="AB165" s="273">
        <v>2190825</v>
      </c>
    </row>
    <row r="166" spans="1:28" x14ac:dyDescent="0.2">
      <c r="A166" s="312" t="s">
        <v>1224</v>
      </c>
      <c r="B166" s="301"/>
      <c r="C166" s="305"/>
      <c r="D166" s="305"/>
      <c r="E166" s="305"/>
      <c r="F166" s="305"/>
      <c r="G166" s="305"/>
      <c r="H166" s="305"/>
      <c r="I166" s="305"/>
      <c r="J166" s="305"/>
      <c r="K166" s="305"/>
      <c r="L166" s="305"/>
      <c r="M166" s="305"/>
      <c r="N166" s="305"/>
      <c r="O166" s="305"/>
      <c r="P166" s="305"/>
      <c r="Q166" s="305"/>
      <c r="R166" s="305"/>
      <c r="S166" s="305"/>
      <c r="T166" s="305"/>
      <c r="U166" s="305"/>
      <c r="V166" s="305"/>
      <c r="W166" s="305"/>
      <c r="X166" s="305"/>
      <c r="Y166" s="305"/>
      <c r="Z166" s="305"/>
      <c r="AA166" s="305"/>
      <c r="AB166" s="306"/>
    </row>
    <row r="167" spans="1:28" x14ac:dyDescent="0.2">
      <c r="A167" s="313" t="s">
        <v>1311</v>
      </c>
      <c r="B167" s="313" t="s">
        <v>1357</v>
      </c>
      <c r="C167" s="269">
        <v>1546955.1085227272</v>
      </c>
      <c r="D167" s="269">
        <v>1560632.904545455</v>
      </c>
      <c r="E167" s="269">
        <v>1536382.2005681819</v>
      </c>
      <c r="F167" s="269">
        <v>1612972.6071969699</v>
      </c>
      <c r="G167" s="269">
        <v>1739151.7857954549</v>
      </c>
      <c r="H167" s="269">
        <v>1700448.883238636</v>
      </c>
      <c r="I167" s="269">
        <v>1694924.728257576</v>
      </c>
      <c r="J167" s="269">
        <v>1734442.9234090908</v>
      </c>
      <c r="K167" s="269">
        <v>1818184.4933333332</v>
      </c>
      <c r="L167" s="269">
        <v>1764723.6284090909</v>
      </c>
      <c r="M167" s="269">
        <v>1788100.364772727</v>
      </c>
      <c r="N167" s="269">
        <v>1838358.7029924241</v>
      </c>
      <c r="O167" s="269">
        <v>1899845.082954545</v>
      </c>
      <c r="P167" s="269">
        <v>1872747.7684545452</v>
      </c>
      <c r="Q167" s="269">
        <v>1925747.6956344699</v>
      </c>
      <c r="R167" s="269">
        <v>1962351.2413598481</v>
      </c>
      <c r="S167" s="269">
        <v>2022474</v>
      </c>
      <c r="T167" s="269">
        <v>2025731</v>
      </c>
      <c r="U167" s="269">
        <v>2075191</v>
      </c>
      <c r="V167" s="269">
        <v>2086689</v>
      </c>
      <c r="W167" s="269">
        <v>2102366</v>
      </c>
      <c r="X167" s="269">
        <v>2121105</v>
      </c>
      <c r="Y167" s="269">
        <v>2137769</v>
      </c>
      <c r="Z167" s="269">
        <v>2149598</v>
      </c>
      <c r="AA167" s="269">
        <v>2169156</v>
      </c>
      <c r="AB167" s="269">
        <v>2190825</v>
      </c>
    </row>
    <row r="169" spans="1:28" s="211" customFormat="1" x14ac:dyDescent="0.2">
      <c r="B169" s="256"/>
    </row>
    <row r="170" spans="1:28" s="211" customFormat="1" x14ac:dyDescent="0.2">
      <c r="A170" s="256"/>
      <c r="B170" s="256"/>
    </row>
    <row r="171" spans="1:28" s="211" customFormat="1" x14ac:dyDescent="0.2">
      <c r="A171" s="256"/>
      <c r="B171" s="256"/>
    </row>
  </sheetData>
  <pageMargins left="0.7" right="0.7" top="0.75" bottom="0.75" header="0.3" footer="0.3"/>
  <pageSetup orientation="portrait" verticalDpi="597"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5" tint="0.79998168889431442"/>
  </sheetPr>
  <dimension ref="A1:AB179"/>
  <sheetViews>
    <sheetView workbookViewId="0">
      <pane xSplit="1" ySplit="6" topLeftCell="B7" activePane="bottomRight" state="frozen"/>
      <selection pane="topRight" activeCell="B1" sqref="B1"/>
      <selection pane="bottomLeft" activeCell="A7" sqref="A7"/>
      <selection pane="bottomRight" activeCell="J29" sqref="J29"/>
    </sheetView>
  </sheetViews>
  <sheetFormatPr defaultColWidth="9.140625" defaultRowHeight="12" x14ac:dyDescent="0.2"/>
  <cols>
    <col min="1" max="1" width="29.140625" style="241" customWidth="1"/>
    <col min="2" max="2" width="7.7109375" style="243" customWidth="1"/>
    <col min="3" max="9" width="8.7109375" style="243" customWidth="1"/>
    <col min="10" max="19" width="7.7109375" style="243" customWidth="1"/>
    <col min="20" max="20" width="8.7109375" style="243" customWidth="1"/>
    <col min="21" max="22" width="7.7109375" style="243" customWidth="1"/>
    <col min="23" max="27" width="8.7109375" style="243" customWidth="1"/>
    <col min="28" max="16384" width="9.140625" style="178"/>
  </cols>
  <sheetData>
    <row r="1" spans="1:27" s="165" customFormat="1" ht="15.75" x14ac:dyDescent="0.25">
      <c r="A1" s="165" t="s">
        <v>1692</v>
      </c>
      <c r="B1" s="166"/>
      <c r="C1" s="166"/>
      <c r="D1" s="166"/>
      <c r="E1" s="166"/>
      <c r="F1" s="166"/>
      <c r="G1" s="166"/>
      <c r="H1" s="166"/>
      <c r="I1" s="166"/>
      <c r="J1" s="166"/>
      <c r="K1" s="166"/>
      <c r="L1" s="166"/>
      <c r="M1" s="166"/>
      <c r="N1" s="166"/>
      <c r="O1" s="166"/>
      <c r="P1" s="166"/>
      <c r="Q1" s="166"/>
      <c r="R1" s="166"/>
      <c r="S1" s="166"/>
      <c r="T1" s="166"/>
      <c r="U1" s="166"/>
      <c r="V1" s="166"/>
      <c r="W1" s="166"/>
      <c r="X1" s="166"/>
    </row>
    <row r="2" spans="1:27" s="169" customFormat="1" ht="12.75" x14ac:dyDescent="0.2">
      <c r="A2" s="167"/>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row>
    <row r="3" spans="1:27" s="169" customFormat="1" ht="12.75" x14ac:dyDescent="0.2">
      <c r="A3" s="170" t="s">
        <v>1165</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row>
    <row r="4" spans="1:27" s="169" customFormat="1" ht="12.75" x14ac:dyDescent="0.2">
      <c r="A4" s="339" t="s">
        <v>1166</v>
      </c>
      <c r="B4" s="168"/>
      <c r="C4" s="168"/>
      <c r="D4" s="168"/>
      <c r="E4" s="168"/>
      <c r="F4" s="168"/>
      <c r="G4" s="168"/>
      <c r="H4" s="168"/>
      <c r="I4" s="168"/>
      <c r="J4" s="168"/>
      <c r="K4" s="168"/>
      <c r="L4" s="168"/>
      <c r="M4" s="168"/>
      <c r="N4" s="168"/>
      <c r="O4" s="168"/>
      <c r="P4" s="168"/>
      <c r="Q4" s="168"/>
      <c r="R4" s="168"/>
      <c r="S4" s="168"/>
      <c r="T4" s="168"/>
      <c r="U4" s="168"/>
      <c r="V4" s="168"/>
      <c r="W4" s="168"/>
      <c r="X4" s="168"/>
      <c r="Y4" s="168"/>
      <c r="Z4" s="168"/>
      <c r="AA4" s="168"/>
    </row>
    <row r="5" spans="1:27" s="169" customFormat="1" ht="12.75" x14ac:dyDescent="0.2">
      <c r="A5" s="340"/>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row>
    <row r="6" spans="1:27" s="174" customFormat="1" x14ac:dyDescent="0.2">
      <c r="A6" s="172" t="s">
        <v>1168</v>
      </c>
      <c r="B6" s="173">
        <v>1990</v>
      </c>
      <c r="C6" s="173">
        <v>1991</v>
      </c>
      <c r="D6" s="173">
        <v>1992</v>
      </c>
      <c r="E6" s="173">
        <v>1993</v>
      </c>
      <c r="F6" s="173">
        <v>1994</v>
      </c>
      <c r="G6" s="173">
        <v>1995</v>
      </c>
      <c r="H6" s="173">
        <v>1996</v>
      </c>
      <c r="I6" s="173">
        <v>1997</v>
      </c>
      <c r="J6" s="173">
        <v>1998</v>
      </c>
      <c r="K6" s="173">
        <v>1999</v>
      </c>
      <c r="L6" s="173">
        <v>2000</v>
      </c>
      <c r="M6" s="173">
        <v>2001</v>
      </c>
      <c r="N6" s="173">
        <v>2002</v>
      </c>
      <c r="O6" s="173">
        <v>2003</v>
      </c>
      <c r="P6" s="173">
        <v>2004</v>
      </c>
      <c r="Q6" s="173">
        <v>2005</v>
      </c>
      <c r="R6" s="173">
        <v>2006</v>
      </c>
      <c r="S6" s="173">
        <v>2007</v>
      </c>
      <c r="T6" s="173">
        <v>2008</v>
      </c>
      <c r="U6" s="173">
        <v>2009</v>
      </c>
      <c r="V6" s="173">
        <v>2010</v>
      </c>
      <c r="W6" s="173">
        <v>2011</v>
      </c>
      <c r="X6" s="173">
        <v>2012</v>
      </c>
      <c r="Y6" s="173">
        <v>2013</v>
      </c>
      <c r="Z6" s="173">
        <v>2014</v>
      </c>
      <c r="AA6" s="173">
        <v>2015</v>
      </c>
    </row>
    <row r="7" spans="1:27" ht="12.75" x14ac:dyDescent="0.2">
      <c r="A7" s="175" t="s">
        <v>293</v>
      </c>
      <c r="B7" s="176"/>
      <c r="C7" s="176"/>
      <c r="D7" s="176"/>
      <c r="E7" s="176"/>
      <c r="F7" s="176"/>
      <c r="G7" s="176"/>
      <c r="H7" s="176"/>
      <c r="I7" s="176"/>
      <c r="J7" s="176"/>
      <c r="K7" s="176"/>
      <c r="L7" s="176"/>
      <c r="M7" s="176"/>
      <c r="N7" s="176"/>
      <c r="O7" s="176"/>
      <c r="P7" s="176"/>
      <c r="Q7" s="176"/>
      <c r="R7" s="176"/>
      <c r="S7" s="176"/>
      <c r="T7" s="176"/>
      <c r="U7" s="176"/>
      <c r="V7" s="176"/>
      <c r="W7" s="176"/>
      <c r="X7" s="176"/>
      <c r="Y7" s="176"/>
      <c r="Z7" s="176"/>
      <c r="AA7" s="177"/>
    </row>
    <row r="8" spans="1:27" s="185" customFormat="1" x14ac:dyDescent="0.2">
      <c r="A8" s="341" t="s">
        <v>758</v>
      </c>
      <c r="B8" s="226">
        <v>9857.3671411735995</v>
      </c>
      <c r="C8" s="226">
        <v>11060.561518511249</v>
      </c>
      <c r="D8" s="226">
        <v>10860.510465246602</v>
      </c>
      <c r="E8" s="226">
        <v>14429.915277720433</v>
      </c>
      <c r="F8" s="226">
        <v>14527.851422848857</v>
      </c>
      <c r="G8" s="226">
        <v>17908.763853646771</v>
      </c>
      <c r="H8" s="226">
        <v>17312.160211016755</v>
      </c>
      <c r="I8" s="226">
        <v>16435.26426068665</v>
      </c>
      <c r="J8" s="226">
        <v>7166.2510005416098</v>
      </c>
      <c r="K8" s="226">
        <v>7555.7908638537419</v>
      </c>
      <c r="L8" s="226">
        <v>6441.3912777808691</v>
      </c>
      <c r="M8" s="226">
        <v>6858.3067891266564</v>
      </c>
      <c r="N8" s="226">
        <v>6959.8534906491386</v>
      </c>
      <c r="O8" s="226">
        <v>6862.3166730188395</v>
      </c>
      <c r="P8" s="226">
        <v>6813.2153600240927</v>
      </c>
      <c r="Q8" s="226">
        <v>8259.9530559300365</v>
      </c>
      <c r="R8" s="226">
        <v>8893.4245725121109</v>
      </c>
      <c r="S8" s="226">
        <v>9722.3971938870418</v>
      </c>
      <c r="T8" s="226">
        <v>11330.699323602765</v>
      </c>
      <c r="U8" s="226">
        <v>11057.699583162397</v>
      </c>
      <c r="V8" s="226">
        <v>11040.787075434166</v>
      </c>
      <c r="W8" s="226">
        <v>14145.779906949574</v>
      </c>
      <c r="X8" s="226">
        <v>13683.963655152986</v>
      </c>
      <c r="Y8" s="226">
        <v>16649.284726365753</v>
      </c>
      <c r="Z8" s="226">
        <v>18585.047709904709</v>
      </c>
      <c r="AA8" s="226">
        <v>18585.047709904709</v>
      </c>
    </row>
    <row r="9" spans="1:27" x14ac:dyDescent="0.2">
      <c r="A9" s="186" t="s">
        <v>1173</v>
      </c>
      <c r="B9" s="187"/>
      <c r="C9" s="187"/>
      <c r="D9" s="187"/>
      <c r="E9" s="187"/>
      <c r="F9" s="187"/>
      <c r="G9" s="187"/>
      <c r="H9" s="187"/>
      <c r="I9" s="187"/>
      <c r="J9" s="187"/>
      <c r="K9" s="187"/>
      <c r="L9" s="187"/>
      <c r="M9" s="187"/>
      <c r="N9" s="187"/>
      <c r="O9" s="187"/>
      <c r="P9" s="187"/>
      <c r="Q9" s="187"/>
      <c r="R9" s="187"/>
      <c r="S9" s="187"/>
      <c r="T9" s="187"/>
      <c r="U9" s="187"/>
      <c r="V9" s="187"/>
      <c r="W9" s="187"/>
      <c r="X9" s="187"/>
      <c r="Y9" s="187"/>
      <c r="Z9" s="187"/>
      <c r="AA9" s="188"/>
    </row>
    <row r="10" spans="1:27" x14ac:dyDescent="0.2">
      <c r="A10" s="189" t="s">
        <v>1174</v>
      </c>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1"/>
    </row>
    <row r="11" spans="1:27" ht="24" x14ac:dyDescent="0.2">
      <c r="A11" s="192" t="s">
        <v>1175</v>
      </c>
      <c r="B11" s="193">
        <v>1.352663574097944</v>
      </c>
      <c r="C11" s="193">
        <v>1.3683275329418889</v>
      </c>
      <c r="D11" s="193">
        <v>1.3156200959069864</v>
      </c>
      <c r="E11" s="193">
        <v>1.3154071742155531</v>
      </c>
      <c r="F11" s="193">
        <v>1.3504972133490378</v>
      </c>
      <c r="G11" s="193">
        <v>1.3098663454886987</v>
      </c>
      <c r="H11" s="193">
        <v>1.3481541736181597</v>
      </c>
      <c r="I11" s="193">
        <v>1.3390661333296416</v>
      </c>
      <c r="J11" s="193">
        <v>1.4196975578419582</v>
      </c>
      <c r="K11" s="193">
        <v>1.4894633898059737</v>
      </c>
      <c r="L11" s="193">
        <v>1.4993615375357114</v>
      </c>
      <c r="M11" s="193">
        <v>1.5823214311176763</v>
      </c>
      <c r="N11" s="193">
        <v>1.5774605072228394</v>
      </c>
      <c r="O11" s="193">
        <v>1.5835402889522643</v>
      </c>
      <c r="P11" s="193">
        <v>1.6238527684698709</v>
      </c>
      <c r="Q11" s="193">
        <v>1.6287243516494088</v>
      </c>
      <c r="R11" s="193">
        <v>1.6643089308677073</v>
      </c>
      <c r="S11" s="193">
        <v>1.6871003390435135</v>
      </c>
      <c r="T11" s="193">
        <v>1.7210477406287423</v>
      </c>
      <c r="U11" s="193">
        <v>1.7288670627140228</v>
      </c>
      <c r="V11" s="193">
        <v>1.7066432189088878</v>
      </c>
      <c r="W11" s="193">
        <v>1.7085654127748184</v>
      </c>
      <c r="X11" s="193">
        <v>1.6744007783977197</v>
      </c>
      <c r="Y11" s="193">
        <v>1.6683892724743137</v>
      </c>
      <c r="Z11" s="193">
        <v>1.6750323230025785</v>
      </c>
      <c r="AA11" s="193">
        <v>1.6750323230025785</v>
      </c>
    </row>
    <row r="12" spans="1:27" ht="15.75" customHeight="1" x14ac:dyDescent="0.2">
      <c r="A12" s="194" t="s">
        <v>1176</v>
      </c>
      <c r="B12" s="195">
        <v>0.38140558244986911</v>
      </c>
      <c r="C12" s="195">
        <v>0.56312670750052762</v>
      </c>
      <c r="D12" s="195">
        <v>0.52774521898089821</v>
      </c>
      <c r="E12" s="195">
        <v>0.5798129812167282</v>
      </c>
      <c r="F12" s="195">
        <v>0.6295737205722125</v>
      </c>
      <c r="G12" s="195">
        <v>0.63358716772056189</v>
      </c>
      <c r="H12" s="195">
        <v>0.72266820560076384</v>
      </c>
      <c r="I12" s="195">
        <v>0.76446235341276159</v>
      </c>
      <c r="J12" s="195">
        <v>0.79768826806999737</v>
      </c>
      <c r="K12" s="195">
        <v>0.81565522266174684</v>
      </c>
      <c r="L12" s="195">
        <v>0.87162993701276537</v>
      </c>
      <c r="M12" s="195">
        <v>0.95944235943055078</v>
      </c>
      <c r="N12" s="195">
        <v>0.97803369889613279</v>
      </c>
      <c r="O12" s="195">
        <v>1.0411200709011303</v>
      </c>
      <c r="P12" s="195">
        <v>1.0505103002679819</v>
      </c>
      <c r="Q12" s="195">
        <v>1.1500595422293449</v>
      </c>
      <c r="R12" s="195">
        <v>1.2325067611545768</v>
      </c>
      <c r="S12" s="195">
        <v>1.2493587705144631</v>
      </c>
      <c r="T12" s="195">
        <v>1.3704040110724496</v>
      </c>
      <c r="U12" s="195">
        <v>1.3979929506420985</v>
      </c>
      <c r="V12" s="195">
        <v>1.4629943824115823</v>
      </c>
      <c r="W12" s="195">
        <v>1.4790386215337579</v>
      </c>
      <c r="X12" s="195">
        <v>1.4931509479147875</v>
      </c>
      <c r="Y12" s="195">
        <v>1.4781485430560286</v>
      </c>
      <c r="Z12" s="195">
        <v>1.5065713197880253</v>
      </c>
      <c r="AA12" s="195">
        <v>1.5065713197880253</v>
      </c>
    </row>
    <row r="13" spans="1:27" x14ac:dyDescent="0.2">
      <c r="A13" s="189" t="s">
        <v>1177</v>
      </c>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1"/>
    </row>
    <row r="14" spans="1:27" x14ac:dyDescent="0.2">
      <c r="A14" s="192" t="s">
        <v>1178</v>
      </c>
      <c r="B14" s="193">
        <v>1.862717043112821</v>
      </c>
      <c r="C14" s="193">
        <v>1.9024412356406246</v>
      </c>
      <c r="D14" s="193">
        <v>1.9124033679724055</v>
      </c>
      <c r="E14" s="193">
        <v>1.9474715934230902</v>
      </c>
      <c r="F14" s="193">
        <v>1.9888656281551076</v>
      </c>
      <c r="G14" s="193">
        <v>1.9975023924103061</v>
      </c>
      <c r="H14" s="193">
        <v>2.0527888697257115</v>
      </c>
      <c r="I14" s="193">
        <v>2.0768343584405491</v>
      </c>
      <c r="J14" s="193">
        <v>2.1406958980980941</v>
      </c>
      <c r="K14" s="193">
        <v>2.1890112005560551</v>
      </c>
      <c r="L14" s="193">
        <v>2.2419519856520047</v>
      </c>
      <c r="M14" s="193">
        <v>2.3999912328817268</v>
      </c>
      <c r="N14" s="193">
        <v>2.471651739437223</v>
      </c>
      <c r="O14" s="193">
        <v>2.5669645262831757</v>
      </c>
      <c r="P14" s="193">
        <v>2.6532335206962672</v>
      </c>
      <c r="Q14" s="193">
        <v>2.7654238036211631</v>
      </c>
      <c r="R14" s="193">
        <v>2.9035295087855242</v>
      </c>
      <c r="S14" s="193">
        <v>2.9981206704852852</v>
      </c>
      <c r="T14" s="193">
        <v>3.1522455759979162</v>
      </c>
      <c r="U14" s="193">
        <v>3.1891022578684476</v>
      </c>
      <c r="V14" s="193">
        <v>3.2288360243593948</v>
      </c>
      <c r="W14" s="193">
        <v>3.2606062868800629</v>
      </c>
      <c r="X14" s="193">
        <v>3.239210784129499</v>
      </c>
      <c r="Y14" s="193">
        <v>3.1802706779742338</v>
      </c>
      <c r="Z14" s="193">
        <v>3.1565426679306241</v>
      </c>
      <c r="AA14" s="193">
        <v>3.1565426679306241</v>
      </c>
    </row>
    <row r="15" spans="1:27" x14ac:dyDescent="0.2">
      <c r="A15" s="181" t="s">
        <v>1179</v>
      </c>
      <c r="B15" s="196">
        <v>6.0436790215980247</v>
      </c>
      <c r="C15" s="196">
        <v>6.1745988200965236</v>
      </c>
      <c r="D15" s="196">
        <v>6.1457291899696198</v>
      </c>
      <c r="E15" s="196">
        <v>6.3231589284044505</v>
      </c>
      <c r="F15" s="196">
        <v>6.638080464737679</v>
      </c>
      <c r="G15" s="196">
        <v>6.7437195507067518</v>
      </c>
      <c r="H15" s="196">
        <v>6.9656662102621016</v>
      </c>
      <c r="I15" s="196">
        <v>7.1424988402338752</v>
      </c>
      <c r="J15" s="196">
        <v>7.6849534220771076</v>
      </c>
      <c r="K15" s="196">
        <v>8.3691512659062699</v>
      </c>
      <c r="L15" s="196">
        <v>9.2143100140880172</v>
      </c>
      <c r="M15" s="196">
        <v>10.494982760898182</v>
      </c>
      <c r="N15" s="196">
        <v>11.426001557828938</v>
      </c>
      <c r="O15" s="196">
        <v>12.243129497592335</v>
      </c>
      <c r="P15" s="196">
        <v>13.267248411707154</v>
      </c>
      <c r="Q15" s="196">
        <v>14.345645574388403</v>
      </c>
      <c r="R15" s="196">
        <v>15.661087089085758</v>
      </c>
      <c r="S15" s="196">
        <v>16.872335588028079</v>
      </c>
      <c r="T15" s="196">
        <v>18.033269548194887</v>
      </c>
      <c r="U15" s="196">
        <v>18.426778171752115</v>
      </c>
      <c r="V15" s="196">
        <v>18.451785204096431</v>
      </c>
      <c r="W15" s="196">
        <v>18.680140090759799</v>
      </c>
      <c r="X15" s="196">
        <v>18.540009075264091</v>
      </c>
      <c r="Y15" s="196">
        <v>18.170146661927152</v>
      </c>
      <c r="Z15" s="196">
        <v>17.972838131684451</v>
      </c>
      <c r="AA15" s="196">
        <v>17.972838131684451</v>
      </c>
    </row>
    <row r="16" spans="1:27" x14ac:dyDescent="0.2">
      <c r="A16" s="181" t="s">
        <v>1180</v>
      </c>
      <c r="B16" s="196">
        <v>1.4272416031911965</v>
      </c>
      <c r="C16" s="196">
        <v>1.4962194849056214</v>
      </c>
      <c r="D16" s="196">
        <v>1.4886006436719665</v>
      </c>
      <c r="E16" s="196">
        <v>1.4817795356911148</v>
      </c>
      <c r="F16" s="196">
        <v>1.4590157922259797</v>
      </c>
      <c r="G16" s="196">
        <v>1.4576439536796861</v>
      </c>
      <c r="H16" s="196">
        <v>1.4331139319892152</v>
      </c>
      <c r="I16" s="196">
        <v>1.4275059856333852</v>
      </c>
      <c r="J16" s="196">
        <v>1.3854123747485885</v>
      </c>
      <c r="K16" s="196">
        <v>1.3537544807553874</v>
      </c>
      <c r="L16" s="196">
        <v>1.3390192530187963</v>
      </c>
      <c r="M16" s="196">
        <v>1.2777212621808358</v>
      </c>
      <c r="N16" s="196">
        <v>1.2629805927804731</v>
      </c>
      <c r="O16" s="196">
        <v>1.2335980721444877</v>
      </c>
      <c r="P16" s="196">
        <v>1.1937577801282018</v>
      </c>
      <c r="Q16" s="196">
        <v>1.1594199469702717</v>
      </c>
      <c r="R16" s="196">
        <v>1.1023337904148041</v>
      </c>
      <c r="S16" s="196">
        <v>1.0522900721698583</v>
      </c>
      <c r="T16" s="196">
        <v>0.98251497746316407</v>
      </c>
      <c r="U16" s="196">
        <v>0.96541530852077573</v>
      </c>
      <c r="V16" s="196">
        <v>0.9518395735765891</v>
      </c>
      <c r="W16" s="196">
        <v>0.9375717744085823</v>
      </c>
      <c r="X16" s="196">
        <v>0.93104921441944388</v>
      </c>
      <c r="Y16" s="196">
        <v>0.91413420721541161</v>
      </c>
      <c r="Z16" s="196">
        <v>0.9081170274643916</v>
      </c>
      <c r="AA16" s="196">
        <v>0.9081170274643916</v>
      </c>
    </row>
    <row r="17" spans="1:27" x14ac:dyDescent="0.2">
      <c r="A17" s="181" t="s">
        <v>1181</v>
      </c>
      <c r="B17" s="196">
        <v>6.713944664527566</v>
      </c>
      <c r="C17" s="196">
        <v>6.8282753825416496</v>
      </c>
      <c r="D17" s="196">
        <v>6.8053713672774032</v>
      </c>
      <c r="E17" s="196">
        <v>6.9975065272826971</v>
      </c>
      <c r="F17" s="196">
        <v>7.1991335485298986</v>
      </c>
      <c r="G17" s="196">
        <v>7.2925809194924431</v>
      </c>
      <c r="H17" s="196">
        <v>7.5170451456017693</v>
      </c>
      <c r="I17" s="196">
        <v>7.6765236280381783</v>
      </c>
      <c r="J17" s="196">
        <v>7.9712780032109025</v>
      </c>
      <c r="K17" s="196">
        <v>8.2992181373425513</v>
      </c>
      <c r="L17" s="196">
        <v>8.7890652130273281</v>
      </c>
      <c r="M17" s="196">
        <v>9.699688285913874</v>
      </c>
      <c r="N17" s="196">
        <v>10.296751788693413</v>
      </c>
      <c r="O17" s="196">
        <v>10.90327509273439</v>
      </c>
      <c r="P17" s="196">
        <v>11.515544397830503</v>
      </c>
      <c r="Q17" s="196">
        <v>12.269630318886074</v>
      </c>
      <c r="R17" s="196">
        <v>13.149283471026703</v>
      </c>
      <c r="S17" s="196">
        <v>13.827359666207967</v>
      </c>
      <c r="T17" s="196">
        <v>14.665082151847296</v>
      </c>
      <c r="U17" s="196">
        <v>14.911315091518652</v>
      </c>
      <c r="V17" s="196">
        <v>15.01721968704495</v>
      </c>
      <c r="W17" s="196">
        <v>15.186720225133767</v>
      </c>
      <c r="X17" s="196">
        <v>15.082930224568159</v>
      </c>
      <c r="Y17" s="196">
        <v>14.800821406598843</v>
      </c>
      <c r="Z17" s="196">
        <v>14.675841054381575</v>
      </c>
      <c r="AA17" s="196">
        <v>14.675841054381575</v>
      </c>
    </row>
    <row r="18" spans="1:27" x14ac:dyDescent="0.2">
      <c r="A18" s="194" t="s">
        <v>1182</v>
      </c>
      <c r="B18" s="195">
        <v>3.1029189897612102</v>
      </c>
      <c r="C18" s="195">
        <v>3.1655660996673665</v>
      </c>
      <c r="D18" s="195">
        <v>3.1570464783688705</v>
      </c>
      <c r="E18" s="195">
        <v>3.4236628898862929</v>
      </c>
      <c r="F18" s="195">
        <v>3.6713591200568421</v>
      </c>
      <c r="G18" s="195">
        <v>3.7296594888332026</v>
      </c>
      <c r="H18" s="195">
        <v>4.1475350037350829</v>
      </c>
      <c r="I18" s="195">
        <v>4.3089552759784873</v>
      </c>
      <c r="J18" s="195">
        <v>4.6393555939253641</v>
      </c>
      <c r="K18" s="195">
        <v>4.8025189457945183</v>
      </c>
      <c r="L18" s="195">
        <v>4.9671642098408952</v>
      </c>
      <c r="M18" s="195">
        <v>5.8926397321808315</v>
      </c>
      <c r="N18" s="195">
        <v>6.1870190102726665</v>
      </c>
      <c r="O18" s="195">
        <v>6.7191696194841084</v>
      </c>
      <c r="P18" s="195">
        <v>7.0743113541348972</v>
      </c>
      <c r="Q18" s="195">
        <v>7.6643223485896304</v>
      </c>
      <c r="R18" s="195">
        <v>8.3992826540562326</v>
      </c>
      <c r="S18" s="195">
        <v>8.7362755634980616</v>
      </c>
      <c r="T18" s="195">
        <v>9.6484114725896521</v>
      </c>
      <c r="U18" s="195">
        <v>9.8229666618361744</v>
      </c>
      <c r="V18" s="195">
        <v>10.126483767250052</v>
      </c>
      <c r="W18" s="195">
        <v>10.309539209758629</v>
      </c>
      <c r="X18" s="195">
        <v>10.261136156726531</v>
      </c>
      <c r="Y18" s="195">
        <v>10.11006951655899</v>
      </c>
      <c r="Z18" s="195">
        <v>10.102326081937672</v>
      </c>
      <c r="AA18" s="195">
        <v>10.102326081937672</v>
      </c>
    </row>
    <row r="19" spans="1:27" x14ac:dyDescent="0.2">
      <c r="A19" s="189" t="s">
        <v>1183</v>
      </c>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1"/>
    </row>
    <row r="20" spans="1:27" x14ac:dyDescent="0.2">
      <c r="A20" s="192" t="s">
        <v>1184</v>
      </c>
      <c r="B20" s="193">
        <v>88.688398701338002</v>
      </c>
      <c r="C20" s="193">
        <v>91.819815623342805</v>
      </c>
      <c r="D20" s="193">
        <v>97.151885834380138</v>
      </c>
      <c r="E20" s="193">
        <v>97.372775426816744</v>
      </c>
      <c r="F20" s="193">
        <v>102.41720609444343</v>
      </c>
      <c r="G20" s="193">
        <v>104.18882062465075</v>
      </c>
      <c r="H20" s="193">
        <v>103.83442996214188</v>
      </c>
      <c r="I20" s="193">
        <v>106.12958654844067</v>
      </c>
      <c r="J20" s="193">
        <v>110.52321460126171</v>
      </c>
      <c r="K20" s="193">
        <v>123.75430658125735</v>
      </c>
      <c r="L20" s="193">
        <v>118.83717117395703</v>
      </c>
      <c r="M20" s="193">
        <v>124.70703358715095</v>
      </c>
      <c r="N20" s="193">
        <v>126.65811216994119</v>
      </c>
      <c r="O20" s="193">
        <v>129.92063885387293</v>
      </c>
      <c r="P20" s="193">
        <v>131.93662693732233</v>
      </c>
      <c r="Q20" s="193">
        <v>135.42647994501652</v>
      </c>
      <c r="R20" s="193">
        <v>143.13955070596677</v>
      </c>
      <c r="S20" s="193">
        <v>151.70786327422508</v>
      </c>
      <c r="T20" s="193">
        <v>163.37295290688331</v>
      </c>
      <c r="U20" s="193">
        <v>167.11193050372981</v>
      </c>
      <c r="V20" s="193">
        <v>171.56770788097253</v>
      </c>
      <c r="W20" s="193">
        <v>182.56485454827606</v>
      </c>
      <c r="X20" s="193">
        <v>192.60315906460337</v>
      </c>
      <c r="Y20" s="193">
        <v>194.45738439670359</v>
      </c>
      <c r="Z20" s="193">
        <v>207.54412447797856</v>
      </c>
      <c r="AA20" s="193">
        <v>207.54412447797856</v>
      </c>
    </row>
    <row r="21" spans="1:27" x14ac:dyDescent="0.2">
      <c r="A21" s="194" t="s">
        <v>1185</v>
      </c>
      <c r="B21" s="195">
        <v>9.9252439990616104</v>
      </c>
      <c r="C21" s="195">
        <v>10.339430543899436</v>
      </c>
      <c r="D21" s="195">
        <v>10.283845251118372</v>
      </c>
      <c r="E21" s="195">
        <v>10.477988655133032</v>
      </c>
      <c r="F21" s="195">
        <v>10.738473765195538</v>
      </c>
      <c r="G21" s="195">
        <v>10.826057287262746</v>
      </c>
      <c r="H21" s="195">
        <v>11.100163712219928</v>
      </c>
      <c r="I21" s="195">
        <v>11.261630703886388</v>
      </c>
      <c r="J21" s="195">
        <v>11.672750824624899</v>
      </c>
      <c r="K21" s="195">
        <v>12.099684785322282</v>
      </c>
      <c r="L21" s="195">
        <v>12.623562323349052</v>
      </c>
      <c r="M21" s="195">
        <v>13.662763771388429</v>
      </c>
      <c r="N21" s="195">
        <v>14.280715071993136</v>
      </c>
      <c r="O21" s="195">
        <v>14.930852262358425</v>
      </c>
      <c r="P21" s="195">
        <v>15.632493664242309</v>
      </c>
      <c r="Q21" s="195">
        <v>16.444353103734823</v>
      </c>
      <c r="R21" s="195">
        <v>17.443861751519915</v>
      </c>
      <c r="S21" s="195">
        <v>18.243965960928094</v>
      </c>
      <c r="T21" s="195">
        <v>19.226452847521053</v>
      </c>
      <c r="U21" s="195">
        <v>19.51033269405594</v>
      </c>
      <c r="V21" s="195">
        <v>19.633024198260866</v>
      </c>
      <c r="W21" s="195">
        <v>19.829657992834232</v>
      </c>
      <c r="X21" s="195">
        <v>19.725010651860433</v>
      </c>
      <c r="Y21" s="195">
        <v>19.435930701728783</v>
      </c>
      <c r="Z21" s="195">
        <v>19.33973898036631</v>
      </c>
      <c r="AA21" s="195">
        <v>19.33973898036631</v>
      </c>
    </row>
    <row r="22" spans="1:27" x14ac:dyDescent="0.2">
      <c r="A22" s="186" t="s">
        <v>1186</v>
      </c>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c r="Z22" s="187"/>
      <c r="AA22" s="188"/>
    </row>
    <row r="23" spans="1:27" x14ac:dyDescent="0.2">
      <c r="A23" s="197" t="s">
        <v>1693</v>
      </c>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1"/>
    </row>
    <row r="24" spans="1:27" ht="24" x14ac:dyDescent="0.2">
      <c r="A24" s="213" t="s">
        <v>1188</v>
      </c>
      <c r="B24" s="324">
        <v>5.0076973305881133E-4</v>
      </c>
      <c r="C24" s="324">
        <v>5.5511065361508809E-4</v>
      </c>
      <c r="D24" s="324">
        <v>5.4732345864786703E-4</v>
      </c>
      <c r="E24" s="324">
        <v>5.6628933595767952E-4</v>
      </c>
      <c r="F24" s="324">
        <v>5.8746620477961344E-4</v>
      </c>
      <c r="G24" s="324">
        <v>5.9339146066678399E-4</v>
      </c>
      <c r="H24" s="324">
        <v>6.2265980623577195E-4</v>
      </c>
      <c r="I24" s="324">
        <v>6.3593789723924107E-4</v>
      </c>
      <c r="J24" s="324">
        <v>6.6640402417960255E-4</v>
      </c>
      <c r="K24" s="324">
        <v>6.9024016060433133E-4</v>
      </c>
      <c r="L24" s="324">
        <v>7.1688762774996251E-4</v>
      </c>
      <c r="M24" s="324">
        <v>7.9720885230292777E-4</v>
      </c>
      <c r="N24" s="324">
        <v>8.3255208794281359E-4</v>
      </c>
      <c r="O24" s="324">
        <v>8.8003529514859321E-4</v>
      </c>
      <c r="P24" s="324">
        <v>9.2188934775332414E-4</v>
      </c>
      <c r="Q24" s="324">
        <v>9.7796541763777584E-4</v>
      </c>
      <c r="R24" s="324">
        <v>1.0482557003401872E-3</v>
      </c>
      <c r="S24" s="324">
        <v>1.0933041968975721E-3</v>
      </c>
      <c r="T24" s="324">
        <v>1.1712163264666012E-3</v>
      </c>
      <c r="U24" s="324">
        <v>1.1895912238601134E-3</v>
      </c>
      <c r="V24" s="324">
        <v>1.2072369232561059E-3</v>
      </c>
      <c r="W24" s="324">
        <v>1.2227736967033739E-3</v>
      </c>
      <c r="X24" s="324">
        <v>1.2170328018987089E-3</v>
      </c>
      <c r="Y24" s="324">
        <v>1.1991153848068404E-3</v>
      </c>
      <c r="Z24" s="324">
        <v>1.198196966632716E-3</v>
      </c>
      <c r="AA24" s="324">
        <v>1.198196966632716E-3</v>
      </c>
    </row>
    <row r="25" spans="1:27" ht="24" x14ac:dyDescent="0.2">
      <c r="A25" s="212" t="s">
        <v>1694</v>
      </c>
      <c r="B25" s="196">
        <v>73.562475323153279</v>
      </c>
      <c r="C25" s="196">
        <v>70.145591816908393</v>
      </c>
      <c r="D25" s="196">
        <v>55.117902907612603</v>
      </c>
      <c r="E25" s="196">
        <v>73.406102775193432</v>
      </c>
      <c r="F25" s="196">
        <v>73.774278320401763</v>
      </c>
      <c r="G25" s="196">
        <v>64.364262122147437</v>
      </c>
      <c r="H25" s="196">
        <v>75.856282086738688</v>
      </c>
      <c r="I25" s="196">
        <v>119.56381993455926</v>
      </c>
      <c r="J25" s="196">
        <v>108.8255606616305</v>
      </c>
      <c r="K25" s="196">
        <v>127.72674704679963</v>
      </c>
      <c r="L25" s="196">
        <v>193.80169611428315</v>
      </c>
      <c r="M25" s="196">
        <v>237.54222917603298</v>
      </c>
      <c r="N25" s="196">
        <v>199.30924192994763</v>
      </c>
      <c r="O25" s="196">
        <v>214.12588270001655</v>
      </c>
      <c r="P25" s="196">
        <v>251.05148955266901</v>
      </c>
      <c r="Q25" s="196">
        <v>305.48600752856561</v>
      </c>
      <c r="R25" s="196">
        <v>343.64401813414912</v>
      </c>
      <c r="S25" s="196">
        <v>327.56383983878561</v>
      </c>
      <c r="T25" s="196">
        <v>336.49141126718882</v>
      </c>
      <c r="U25" s="196">
        <v>179.87626905972297</v>
      </c>
      <c r="V25" s="196">
        <v>184.9568917488312</v>
      </c>
      <c r="W25" s="196">
        <v>160.7907275908068</v>
      </c>
      <c r="X25" s="196">
        <v>98.56919182342105</v>
      </c>
      <c r="Y25" s="196">
        <v>74.983772866884152</v>
      </c>
      <c r="Z25" s="196">
        <v>65.814989599847053</v>
      </c>
      <c r="AA25" s="196">
        <v>65.814989599847053</v>
      </c>
    </row>
    <row r="26" spans="1:27" x14ac:dyDescent="0.2">
      <c r="A26" s="206" t="s">
        <v>1194</v>
      </c>
      <c r="B26" s="195">
        <v>7.1293122683554838E-2</v>
      </c>
      <c r="C26" s="195">
        <v>6.2009014079589642E-2</v>
      </c>
      <c r="D26" s="195">
        <v>5.1681448796054533E-2</v>
      </c>
      <c r="E26" s="195">
        <v>6.2425210826707656E-2</v>
      </c>
      <c r="F26" s="195">
        <v>5.8946109163558733E-2</v>
      </c>
      <c r="G26" s="195">
        <v>5.0414463009563502E-2</v>
      </c>
      <c r="H26" s="195">
        <v>5.5594471053818588E-2</v>
      </c>
      <c r="I26" s="195">
        <v>7.0179828886771142E-2</v>
      </c>
      <c r="J26" s="195">
        <v>7.0891438660774547E-2</v>
      </c>
      <c r="K26" s="195">
        <v>7.2271858197167943E-2</v>
      </c>
      <c r="L26" s="195">
        <v>0.10058372967612848</v>
      </c>
      <c r="M26" s="195">
        <v>0.13090119565433575</v>
      </c>
      <c r="N26" s="195">
        <v>0.10542972005779622</v>
      </c>
      <c r="O26" s="195">
        <v>0.12496002029088096</v>
      </c>
      <c r="P26" s="195">
        <v>0.14497326544402722</v>
      </c>
      <c r="Q26" s="195">
        <v>0.17246776403800856</v>
      </c>
      <c r="R26" s="195">
        <v>0.19870092220725741</v>
      </c>
      <c r="S26" s="195">
        <v>0.19808900809741353</v>
      </c>
      <c r="T26" s="195">
        <v>0.1956802000649753</v>
      </c>
      <c r="U26" s="195">
        <v>0.11083657557253883</v>
      </c>
      <c r="V26" s="195">
        <v>0.10267707103326078</v>
      </c>
      <c r="W26" s="195">
        <v>0.10256907899835213</v>
      </c>
      <c r="X26" s="195">
        <v>0.10266601573544799</v>
      </c>
      <c r="Y26" s="195">
        <v>0.10251153364062401</v>
      </c>
      <c r="Z26" s="195">
        <v>0.10206271124804948</v>
      </c>
      <c r="AA26" s="195">
        <v>0.10206271124804948</v>
      </c>
    </row>
    <row r="27" spans="1:27" x14ac:dyDescent="0.2">
      <c r="A27" s="197" t="s">
        <v>1195</v>
      </c>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1"/>
    </row>
    <row r="28" spans="1:27" x14ac:dyDescent="0.2">
      <c r="A28" s="213" t="s">
        <v>1196</v>
      </c>
      <c r="B28" s="193" t="s">
        <v>1234</v>
      </c>
      <c r="C28" s="193" t="s">
        <v>1234</v>
      </c>
      <c r="D28" s="193" t="s">
        <v>1234</v>
      </c>
      <c r="E28" s="193" t="s">
        <v>1234</v>
      </c>
      <c r="F28" s="193" t="s">
        <v>1234</v>
      </c>
      <c r="G28" s="193" t="s">
        <v>1234</v>
      </c>
      <c r="H28" s="193" t="s">
        <v>1234</v>
      </c>
      <c r="I28" s="193" t="s">
        <v>1234</v>
      </c>
      <c r="J28" s="193" t="s">
        <v>1234</v>
      </c>
      <c r="K28" s="193" t="s">
        <v>1234</v>
      </c>
      <c r="L28" s="193" t="s">
        <v>1234</v>
      </c>
      <c r="M28" s="193" t="s">
        <v>1234</v>
      </c>
      <c r="N28" s="193" t="s">
        <v>1234</v>
      </c>
      <c r="O28" s="193" t="s">
        <v>1234</v>
      </c>
      <c r="P28" s="193" t="s">
        <v>1234</v>
      </c>
      <c r="Q28" s="193" t="s">
        <v>1234</v>
      </c>
      <c r="R28" s="193" t="s">
        <v>1234</v>
      </c>
      <c r="S28" s="193" t="s">
        <v>1234</v>
      </c>
      <c r="T28" s="193" t="s">
        <v>1234</v>
      </c>
      <c r="U28" s="193" t="s">
        <v>1234</v>
      </c>
      <c r="V28" s="193" t="s">
        <v>1234</v>
      </c>
      <c r="W28" s="193" t="s">
        <v>1234</v>
      </c>
      <c r="X28" s="193" t="s">
        <v>1234</v>
      </c>
      <c r="Y28" s="193" t="s">
        <v>1234</v>
      </c>
      <c r="Z28" s="193" t="s">
        <v>1234</v>
      </c>
      <c r="AA28" s="193" t="s">
        <v>1234</v>
      </c>
    </row>
    <row r="29" spans="1:27" x14ac:dyDescent="0.2">
      <c r="A29" s="206" t="s">
        <v>1197</v>
      </c>
      <c r="B29" s="195" t="s">
        <v>1234</v>
      </c>
      <c r="C29" s="195" t="s">
        <v>1234</v>
      </c>
      <c r="D29" s="195" t="s">
        <v>1234</v>
      </c>
      <c r="E29" s="195" t="s">
        <v>1234</v>
      </c>
      <c r="F29" s="195" t="s">
        <v>1234</v>
      </c>
      <c r="G29" s="195" t="s">
        <v>1234</v>
      </c>
      <c r="H29" s="195" t="s">
        <v>1234</v>
      </c>
      <c r="I29" s="195" t="s">
        <v>1234</v>
      </c>
      <c r="J29" s="195" t="s">
        <v>1234</v>
      </c>
      <c r="K29" s="195" t="s">
        <v>1234</v>
      </c>
      <c r="L29" s="195" t="s">
        <v>1234</v>
      </c>
      <c r="M29" s="195" t="s">
        <v>1234</v>
      </c>
      <c r="N29" s="195" t="s">
        <v>1234</v>
      </c>
      <c r="O29" s="195" t="s">
        <v>1234</v>
      </c>
      <c r="P29" s="195" t="s">
        <v>1234</v>
      </c>
      <c r="Q29" s="195" t="s">
        <v>1234</v>
      </c>
      <c r="R29" s="195" t="s">
        <v>1234</v>
      </c>
      <c r="S29" s="195" t="s">
        <v>1234</v>
      </c>
      <c r="T29" s="195" t="s">
        <v>1234</v>
      </c>
      <c r="U29" s="195" t="s">
        <v>1234</v>
      </c>
      <c r="V29" s="195" t="s">
        <v>1234</v>
      </c>
      <c r="W29" s="195" t="s">
        <v>1234</v>
      </c>
      <c r="X29" s="195" t="s">
        <v>1234</v>
      </c>
      <c r="Y29" s="195" t="s">
        <v>1234</v>
      </c>
      <c r="Z29" s="195" t="s">
        <v>1234</v>
      </c>
      <c r="AA29" s="195" t="s">
        <v>1234</v>
      </c>
    </row>
    <row r="30" spans="1:27" x14ac:dyDescent="0.2">
      <c r="A30" s="207" t="s">
        <v>1198</v>
      </c>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1"/>
    </row>
    <row r="31" spans="1:27" x14ac:dyDescent="0.2">
      <c r="A31" s="213" t="s">
        <v>1199</v>
      </c>
      <c r="B31" s="193">
        <v>50.279347407619284</v>
      </c>
      <c r="C31" s="193">
        <v>54.826802375702641</v>
      </c>
      <c r="D31" s="193">
        <v>56.344423367644325</v>
      </c>
      <c r="E31" s="193">
        <v>60.040808683604403</v>
      </c>
      <c r="F31" s="193">
        <v>65.294845787813998</v>
      </c>
      <c r="G31" s="193">
        <v>65.879345099169484</v>
      </c>
      <c r="H31" s="193">
        <v>74.040632864622552</v>
      </c>
      <c r="I31" s="193">
        <v>75.075177520007912</v>
      </c>
      <c r="J31" s="193">
        <v>80.946477009651147</v>
      </c>
      <c r="K31" s="193">
        <v>83.280390249308581</v>
      </c>
      <c r="L31" s="193">
        <v>85.234831666393703</v>
      </c>
      <c r="M31" s="193">
        <v>99.949717756040727</v>
      </c>
      <c r="N31" s="193">
        <v>102.88130945626834</v>
      </c>
      <c r="O31" s="193">
        <v>107.45830930811886</v>
      </c>
      <c r="P31" s="193">
        <v>112.96422349746486</v>
      </c>
      <c r="Q31" s="193">
        <v>119.24939570414777</v>
      </c>
      <c r="R31" s="193">
        <v>127.39588052045272</v>
      </c>
      <c r="S31" s="193">
        <v>131.59816571556246</v>
      </c>
      <c r="T31" s="193">
        <v>141.45063523600555</v>
      </c>
      <c r="U31" s="193">
        <v>138.37112138784263</v>
      </c>
      <c r="V31" s="193">
        <v>136.38768014614578</v>
      </c>
      <c r="W31" s="193">
        <v>134.00692570083137</v>
      </c>
      <c r="X31" s="193">
        <v>136.16412835124942</v>
      </c>
      <c r="Y31" s="193">
        <v>137.40207565137058</v>
      </c>
      <c r="Z31" s="193">
        <v>119.96957630315464</v>
      </c>
      <c r="AA31" s="193">
        <v>119.96957630315464</v>
      </c>
    </row>
    <row r="32" spans="1:27" x14ac:dyDescent="0.2">
      <c r="A32" s="212" t="s">
        <v>1203</v>
      </c>
      <c r="B32" s="196">
        <v>2.5624131630612768</v>
      </c>
      <c r="C32" s="196">
        <v>2.7071356660865544</v>
      </c>
      <c r="D32" s="196">
        <v>2.8444838735393674</v>
      </c>
      <c r="E32" s="196">
        <v>3.3104829506754876</v>
      </c>
      <c r="F32" s="196">
        <v>3.8395353966856054</v>
      </c>
      <c r="G32" s="196">
        <v>3.9611042716095084</v>
      </c>
      <c r="H32" s="196">
        <v>4.7645246967038215</v>
      </c>
      <c r="I32" s="196">
        <v>4.9728924567553756</v>
      </c>
      <c r="J32" s="196">
        <v>5.6576155964480659</v>
      </c>
      <c r="K32" s="196">
        <v>6.0291617568316322</v>
      </c>
      <c r="L32" s="196">
        <v>6.3114126977023162</v>
      </c>
      <c r="M32" s="196">
        <v>7.8541275424970447</v>
      </c>
      <c r="N32" s="196">
        <v>6.0154177837842671</v>
      </c>
      <c r="O32" s="196">
        <v>8.9669988206689233</v>
      </c>
      <c r="P32" s="196">
        <v>9.719265437580928</v>
      </c>
      <c r="Q32" s="196">
        <v>10.613270586153613</v>
      </c>
      <c r="R32" s="196">
        <v>11.778633318532595</v>
      </c>
      <c r="S32" s="196">
        <v>12.568851374803355</v>
      </c>
      <c r="T32" s="196">
        <v>14.094646985506847</v>
      </c>
      <c r="U32" s="196">
        <v>14.240616052038733</v>
      </c>
      <c r="V32" s="196">
        <v>14.563825514095546</v>
      </c>
      <c r="W32" s="196">
        <v>14.358946268319951</v>
      </c>
      <c r="X32" s="196">
        <v>14.312920981716635</v>
      </c>
      <c r="Y32" s="196">
        <v>14.066903309010744</v>
      </c>
      <c r="Z32" s="196">
        <v>14.020754505332816</v>
      </c>
      <c r="AA32" s="196">
        <v>14.020754505332816</v>
      </c>
    </row>
    <row r="33" spans="1:27" x14ac:dyDescent="0.2">
      <c r="A33" s="212" t="s">
        <v>1204</v>
      </c>
      <c r="B33" s="196">
        <v>16.441886951329529</v>
      </c>
      <c r="C33" s="196">
        <v>18.226074799824257</v>
      </c>
      <c r="D33" s="196">
        <v>17.970396049958651</v>
      </c>
      <c r="E33" s="196">
        <v>17.762076740220412</v>
      </c>
      <c r="F33" s="196">
        <v>17.444412205539109</v>
      </c>
      <c r="G33" s="196">
        <v>17.424202028864741</v>
      </c>
      <c r="H33" s="196">
        <v>16.954120363224735</v>
      </c>
      <c r="I33" s="196">
        <v>16.832656256465285</v>
      </c>
      <c r="J33" s="196">
        <v>16.335236225431416</v>
      </c>
      <c r="K33" s="196">
        <v>16.068211904040218</v>
      </c>
      <c r="L33" s="196">
        <v>16.004132993426914</v>
      </c>
      <c r="M33" s="196">
        <v>15.075066683009211</v>
      </c>
      <c r="N33" s="196">
        <v>14.947602894550554</v>
      </c>
      <c r="O33" s="196">
        <v>14.503616624218193</v>
      </c>
      <c r="P33" s="196">
        <v>14.139038012305098</v>
      </c>
      <c r="Q33" s="196">
        <v>13.662240851400588</v>
      </c>
      <c r="R33" s="196">
        <v>12.930221753789077</v>
      </c>
      <c r="S33" s="196">
        <v>12.524350510490979</v>
      </c>
      <c r="T33" s="196">
        <v>11.519923113597033</v>
      </c>
      <c r="U33" s="196">
        <v>11.336989110691338</v>
      </c>
      <c r="V33" s="196">
        <v>11.013393700937991</v>
      </c>
      <c r="W33" s="196">
        <v>10.811945649226258</v>
      </c>
      <c r="X33" s="196">
        <v>10.761183809342633</v>
      </c>
      <c r="Y33" s="196">
        <v>10.60275536073102</v>
      </c>
      <c r="Z33" s="196">
        <v>10.594634571570554</v>
      </c>
      <c r="AA33" s="196">
        <v>10.594634571570554</v>
      </c>
    </row>
    <row r="34" spans="1:27" x14ac:dyDescent="0.2">
      <c r="A34" s="206" t="s">
        <v>1205</v>
      </c>
      <c r="B34" s="195">
        <v>5.1267423832709014</v>
      </c>
      <c r="C34" s="195">
        <v>5.683069737282735</v>
      </c>
      <c r="D34" s="195">
        <v>5.6033465834064256</v>
      </c>
      <c r="E34" s="195">
        <v>5.5383905696806162</v>
      </c>
      <c r="F34" s="195">
        <v>5.4393396372399829</v>
      </c>
      <c r="G34" s="195">
        <v>5.4330379049852509</v>
      </c>
      <c r="H34" s="195">
        <v>5.2864618090682107</v>
      </c>
      <c r="I34" s="195">
        <v>5.248588103573633</v>
      </c>
      <c r="J34" s="195">
        <v>5.0934876359120995</v>
      </c>
      <c r="K34" s="195">
        <v>5.0102268210255376</v>
      </c>
      <c r="L34" s="195">
        <v>4.990246385210142</v>
      </c>
      <c r="M34" s="195">
        <v>4.7005543538400785</v>
      </c>
      <c r="N34" s="195">
        <v>4.6608098884659013</v>
      </c>
      <c r="O34" s="195">
        <v>4.5223705939712247</v>
      </c>
      <c r="P34" s="195">
        <v>4.4086913899199036</v>
      </c>
      <c r="Q34" s="195">
        <v>4.2600213363993911</v>
      </c>
      <c r="R34" s="195">
        <v>4.031770567847234</v>
      </c>
      <c r="S34" s="195">
        <v>3.9052159143985938</v>
      </c>
      <c r="T34" s="195">
        <v>3.5920255535952519</v>
      </c>
      <c r="U34" s="195">
        <v>3.534984928707475</v>
      </c>
      <c r="V34" s="195">
        <v>3.4340846909716674</v>
      </c>
      <c r="W34" s="195">
        <v>3.3712712032135386</v>
      </c>
      <c r="X34" s="195">
        <v>3.3554431612889988</v>
      </c>
      <c r="Y34" s="195">
        <v>3.3060436097279586</v>
      </c>
      <c r="Z34" s="195">
        <v>3.3035114676388035</v>
      </c>
      <c r="AA34" s="195">
        <v>3.3035114676388035</v>
      </c>
    </row>
    <row r="35" spans="1:27" x14ac:dyDescent="0.2">
      <c r="A35" s="207" t="s">
        <v>1206</v>
      </c>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1"/>
    </row>
    <row r="36" spans="1:27" ht="24" x14ac:dyDescent="0.2">
      <c r="A36" s="213" t="s">
        <v>1695</v>
      </c>
      <c r="B36" s="193">
        <v>10.251832039096572</v>
      </c>
      <c r="C36" s="193">
        <v>9.8856951805574074</v>
      </c>
      <c r="D36" s="193">
        <v>9.4280241073834556</v>
      </c>
      <c r="E36" s="193">
        <v>9.7026267512878253</v>
      </c>
      <c r="F36" s="193">
        <v>9.9772293951921984</v>
      </c>
      <c r="G36" s="193">
        <v>8.78728460493992</v>
      </c>
      <c r="H36" s="193">
        <v>9.3364898927486646</v>
      </c>
      <c r="I36" s="193">
        <v>9.5195583220182449</v>
      </c>
      <c r="J36" s="193">
        <v>9.702626751287827</v>
      </c>
      <c r="K36" s="193">
        <v>10.251832039096572</v>
      </c>
      <c r="L36" s="193">
        <v>9.3364898927486628</v>
      </c>
      <c r="M36" s="193">
        <v>10.343366253731361</v>
      </c>
      <c r="N36" s="193">
        <v>10.617968897635734</v>
      </c>
      <c r="O36" s="193">
        <v>10.251832039096572</v>
      </c>
      <c r="P36" s="193">
        <v>9.7941609659226163</v>
      </c>
      <c r="Q36" s="193">
        <v>10.251832039096572</v>
      </c>
      <c r="R36" s="193">
        <v>11.258708400079271</v>
      </c>
      <c r="S36" s="193">
        <v>11.167174185444479</v>
      </c>
      <c r="T36" s="193">
        <v>11.899447902522805</v>
      </c>
      <c r="U36" s="193">
        <v>11.624845258618432</v>
      </c>
      <c r="V36" s="193">
        <v>15.743884917184019</v>
      </c>
      <c r="W36" s="193">
        <v>17.208432351340672</v>
      </c>
      <c r="X36" s="193">
        <v>20.961335151367095</v>
      </c>
      <c r="Y36" s="193">
        <v>24.897306380663103</v>
      </c>
      <c r="Z36" s="193">
        <v>25.354977453837055</v>
      </c>
      <c r="AA36" s="193">
        <v>25.354977453837055</v>
      </c>
    </row>
    <row r="37" spans="1:27" ht="24" x14ac:dyDescent="0.2">
      <c r="A37" s="206" t="s">
        <v>1696</v>
      </c>
      <c r="B37" s="195">
        <v>2.0503664078193133</v>
      </c>
      <c r="C37" s="195">
        <v>1.9771390361114807</v>
      </c>
      <c r="D37" s="195">
        <v>1.8856048214766903</v>
      </c>
      <c r="E37" s="195">
        <v>1.9405253502575646</v>
      </c>
      <c r="F37" s="195">
        <v>1.9954458790384391</v>
      </c>
      <c r="G37" s="195">
        <v>1.7574569209879833</v>
      </c>
      <c r="H37" s="195">
        <v>1.8672979785497319</v>
      </c>
      <c r="I37" s="195">
        <v>1.9039116644036482</v>
      </c>
      <c r="J37" s="195">
        <v>1.9405253502575646</v>
      </c>
      <c r="K37" s="195">
        <v>2.0503664078193138</v>
      </c>
      <c r="L37" s="195">
        <v>1.8672979785497319</v>
      </c>
      <c r="M37" s="195">
        <v>2.0686732507462717</v>
      </c>
      <c r="N37" s="195">
        <v>2.123593779527146</v>
      </c>
      <c r="O37" s="195">
        <v>2.0503664078193133</v>
      </c>
      <c r="P37" s="195">
        <v>1.9588321931845227</v>
      </c>
      <c r="Q37" s="195">
        <v>2.0503664078193133</v>
      </c>
      <c r="R37" s="195">
        <v>2.2517416800158534</v>
      </c>
      <c r="S37" s="195">
        <v>2.2334348370888946</v>
      </c>
      <c r="T37" s="195">
        <v>2.3798895805045603</v>
      </c>
      <c r="U37" s="195">
        <v>2.3249690517236861</v>
      </c>
      <c r="V37" s="195">
        <v>3.1487769834368029</v>
      </c>
      <c r="W37" s="195">
        <v>3.4416864702681331</v>
      </c>
      <c r="X37" s="195">
        <v>4.1922670302734177</v>
      </c>
      <c r="Y37" s="195">
        <v>4.9794612761326187</v>
      </c>
      <c r="Z37" s="195">
        <v>5.0709954907674089</v>
      </c>
      <c r="AA37" s="195">
        <v>5.0709954907674089</v>
      </c>
    </row>
    <row r="38" spans="1:27" x14ac:dyDescent="0.2">
      <c r="A38" s="207" t="s">
        <v>1213</v>
      </c>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1"/>
    </row>
    <row r="39" spans="1:27" x14ac:dyDescent="0.2">
      <c r="A39" s="217" t="s">
        <v>1214</v>
      </c>
      <c r="B39" s="218" t="s">
        <v>1234</v>
      </c>
      <c r="C39" s="218" t="s">
        <v>1234</v>
      </c>
      <c r="D39" s="218" t="s">
        <v>1234</v>
      </c>
      <c r="E39" s="218" t="s">
        <v>1234</v>
      </c>
      <c r="F39" s="218" t="s">
        <v>1234</v>
      </c>
      <c r="G39" s="218" t="s">
        <v>1234</v>
      </c>
      <c r="H39" s="218" t="s">
        <v>1234</v>
      </c>
      <c r="I39" s="218" t="s">
        <v>1234</v>
      </c>
      <c r="J39" s="218" t="s">
        <v>1234</v>
      </c>
      <c r="K39" s="218" t="s">
        <v>1234</v>
      </c>
      <c r="L39" s="218" t="s">
        <v>1234</v>
      </c>
      <c r="M39" s="218" t="s">
        <v>1234</v>
      </c>
      <c r="N39" s="218" t="s">
        <v>1234</v>
      </c>
      <c r="O39" s="218" t="s">
        <v>1234</v>
      </c>
      <c r="P39" s="218" t="s">
        <v>1234</v>
      </c>
      <c r="Q39" s="218" t="s">
        <v>1234</v>
      </c>
      <c r="R39" s="218" t="s">
        <v>1234</v>
      </c>
      <c r="S39" s="218" t="s">
        <v>1234</v>
      </c>
      <c r="T39" s="218" t="s">
        <v>1234</v>
      </c>
      <c r="U39" s="218" t="s">
        <v>1234</v>
      </c>
      <c r="V39" s="218" t="s">
        <v>1234</v>
      </c>
      <c r="W39" s="218" t="s">
        <v>1234</v>
      </c>
      <c r="X39" s="218" t="s">
        <v>1234</v>
      </c>
      <c r="Y39" s="218" t="s">
        <v>1234</v>
      </c>
      <c r="Z39" s="218" t="s">
        <v>1234</v>
      </c>
      <c r="AA39" s="218" t="s">
        <v>1234</v>
      </c>
    </row>
    <row r="40" spans="1:27" x14ac:dyDescent="0.2">
      <c r="A40" s="207" t="s">
        <v>1697</v>
      </c>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1"/>
    </row>
    <row r="41" spans="1:27" ht="24" x14ac:dyDescent="0.2">
      <c r="A41" s="213" t="s">
        <v>1189</v>
      </c>
      <c r="B41" s="342">
        <v>2.5091264732333113E-2</v>
      </c>
      <c r="C41" s="342">
        <v>2.6269393261390411E-2</v>
      </c>
      <c r="D41" s="342">
        <v>2.5740767498288655E-2</v>
      </c>
      <c r="E41" s="342">
        <v>2.5940987243885247E-2</v>
      </c>
      <c r="F41" s="342">
        <v>2.6358887723809146E-2</v>
      </c>
      <c r="G41" s="342">
        <v>2.6116447943037066E-2</v>
      </c>
      <c r="H41" s="342">
        <v>2.6779201273892949E-2</v>
      </c>
      <c r="I41" s="342">
        <v>2.6622657766143431E-2</v>
      </c>
      <c r="J41" s="342">
        <v>2.7899225711145687E-2</v>
      </c>
      <c r="K41" s="342">
        <v>2.8309691534736541E-2</v>
      </c>
      <c r="L41" s="342">
        <v>2.747541223720748E-2</v>
      </c>
      <c r="M41" s="342">
        <v>3.0113462357890284E-2</v>
      </c>
      <c r="N41" s="342">
        <v>3.0279215066382016E-2</v>
      </c>
      <c r="O41" s="342">
        <v>3.1094524467168132E-2</v>
      </c>
      <c r="P41" s="342">
        <v>3.2020725806241976E-2</v>
      </c>
      <c r="Q41" s="342">
        <v>3.215384637032348E-2</v>
      </c>
      <c r="R41" s="342">
        <v>3.3330130534508819E-2</v>
      </c>
      <c r="S41" s="342">
        <v>3.3707627923418096E-2</v>
      </c>
      <c r="T41" s="342">
        <v>3.5303836970114646E-2</v>
      </c>
      <c r="U41" s="342">
        <v>3.5191077163568438E-2</v>
      </c>
      <c r="V41" s="342">
        <v>3.5253189645835077E-2</v>
      </c>
      <c r="W41" s="342">
        <v>3.5509589776972016E-2</v>
      </c>
      <c r="X41" s="342">
        <v>3.4816214198965405E-2</v>
      </c>
      <c r="Y41" s="342">
        <v>3.4458244436202948E-2</v>
      </c>
      <c r="Z41" s="342">
        <v>3.4401592207208391E-2</v>
      </c>
      <c r="AA41" s="342">
        <v>3.4401592207208391E-2</v>
      </c>
    </row>
    <row r="42" spans="1:27" ht="24" x14ac:dyDescent="0.2">
      <c r="A42" s="212" t="s">
        <v>1698</v>
      </c>
      <c r="B42" s="215">
        <v>15.33433390673607</v>
      </c>
      <c r="C42" s="215">
        <v>18.336391801421119</v>
      </c>
      <c r="D42" s="215">
        <v>18.189451402860737</v>
      </c>
      <c r="E42" s="215">
        <v>19.402189983500943</v>
      </c>
      <c r="F42" s="215">
        <v>20.592788812654078</v>
      </c>
      <c r="G42" s="215">
        <v>21.271530660902741</v>
      </c>
      <c r="H42" s="215">
        <v>22.828721651504445</v>
      </c>
      <c r="I42" s="215">
        <v>23.936067100041171</v>
      </c>
      <c r="J42" s="215">
        <v>25.061483332376937</v>
      </c>
      <c r="K42" s="215">
        <v>26.478712967041275</v>
      </c>
      <c r="L42" s="215">
        <v>29.12154162038016</v>
      </c>
      <c r="M42" s="215">
        <v>32.753663619811817</v>
      </c>
      <c r="N42" s="215">
        <v>35.170371506372625</v>
      </c>
      <c r="O42" s="215">
        <v>37.994725789302976</v>
      </c>
      <c r="P42" s="215">
        <v>40.237509923262586</v>
      </c>
      <c r="Q42" s="215">
        <v>44.253093696309833</v>
      </c>
      <c r="R42" s="215">
        <v>48.393275358146511</v>
      </c>
      <c r="S42" s="215">
        <v>51.331404152137132</v>
      </c>
      <c r="T42" s="215">
        <v>55.689966344811971</v>
      </c>
      <c r="U42" s="215">
        <v>57.124980718039957</v>
      </c>
      <c r="V42" s="215">
        <v>58.34947642196159</v>
      </c>
      <c r="W42" s="215">
        <v>44.118160109483881</v>
      </c>
      <c r="X42" s="215">
        <v>26.149641254993799</v>
      </c>
      <c r="Y42" s="215">
        <v>26.149641254993799</v>
      </c>
      <c r="Z42" s="215">
        <v>26.149641254993799</v>
      </c>
      <c r="AA42" s="215">
        <v>26.149641254993799</v>
      </c>
    </row>
    <row r="43" spans="1:27" ht="24" x14ac:dyDescent="0.2">
      <c r="A43" s="212" t="s">
        <v>1216</v>
      </c>
      <c r="B43" s="215">
        <v>0</v>
      </c>
      <c r="C43" s="215">
        <v>0.28883588102863411</v>
      </c>
      <c r="D43" s="215">
        <v>0.57672206122914771</v>
      </c>
      <c r="E43" s="215">
        <v>0.90323269777315895</v>
      </c>
      <c r="F43" s="215">
        <v>1.2483386772956411</v>
      </c>
      <c r="G43" s="215">
        <v>1.5910866763397122</v>
      </c>
      <c r="H43" s="215">
        <v>2.0040377225130244</v>
      </c>
      <c r="I43" s="215">
        <v>2.4052108013858957</v>
      </c>
      <c r="J43" s="215">
        <v>2.8616325082569012</v>
      </c>
      <c r="K43" s="215">
        <v>3.3388417427670491</v>
      </c>
      <c r="L43" s="215">
        <v>3.9150550551788421</v>
      </c>
      <c r="M43" s="215">
        <v>4.8378155343972109</v>
      </c>
      <c r="N43" s="215">
        <v>5.5945699887486287</v>
      </c>
      <c r="O43" s="215">
        <v>6.4610410526903781</v>
      </c>
      <c r="P43" s="215">
        <v>7.3353153107734625</v>
      </c>
      <c r="Q43" s="215">
        <v>8.4150317862759376</v>
      </c>
      <c r="R43" s="215">
        <v>9.6894910852975471</v>
      </c>
      <c r="S43" s="215">
        <v>10.767212195471568</v>
      </c>
      <c r="T43" s="215">
        <v>12.215461092455371</v>
      </c>
      <c r="U43" s="215">
        <v>13.117011973608248</v>
      </c>
      <c r="V43" s="215">
        <v>13.946995048264039</v>
      </c>
      <c r="W43" s="215">
        <v>14.122137572728905</v>
      </c>
      <c r="X43" s="215">
        <v>14.05764665115839</v>
      </c>
      <c r="Y43" s="215">
        <v>13.801444532219907</v>
      </c>
      <c r="Z43" s="215">
        <v>13.779757108404111</v>
      </c>
      <c r="AA43" s="215">
        <v>13.779757108404111</v>
      </c>
    </row>
    <row r="44" spans="1:27" ht="24" x14ac:dyDescent="0.2">
      <c r="A44" s="206" t="s">
        <v>1217</v>
      </c>
      <c r="B44" s="216">
        <v>235.79364272171514</v>
      </c>
      <c r="C44" s="216">
        <v>231.42288810292331</v>
      </c>
      <c r="D44" s="216">
        <v>224.68649126784189</v>
      </c>
      <c r="E44" s="216">
        <v>222.20527204421919</v>
      </c>
      <c r="F44" s="216">
        <v>218.37279803616073</v>
      </c>
      <c r="G44" s="216">
        <v>211.45776441645938</v>
      </c>
      <c r="H44" s="216">
        <v>203.4294242001875</v>
      </c>
      <c r="I44" s="216">
        <v>196.59995975792992</v>
      </c>
      <c r="J44" s="216">
        <v>191.43729631759308</v>
      </c>
      <c r="K44" s="216">
        <v>191.10282419794089</v>
      </c>
      <c r="L44" s="216">
        <v>196.95691180705796</v>
      </c>
      <c r="M44" s="216">
        <v>204.71995093630849</v>
      </c>
      <c r="N44" s="216">
        <v>203.96395251088194</v>
      </c>
      <c r="O44" s="216">
        <v>194.99029998107318</v>
      </c>
      <c r="P44" s="216">
        <v>183.73858280003867</v>
      </c>
      <c r="Q44" s="216">
        <v>170.43968552293626</v>
      </c>
      <c r="R44" s="216">
        <v>153.58537649707074</v>
      </c>
      <c r="S44" s="216">
        <v>129.20485683753981</v>
      </c>
      <c r="T44" s="216">
        <v>100.1101089269102</v>
      </c>
      <c r="U44" s="216">
        <v>64.06587730565046</v>
      </c>
      <c r="V44" s="216">
        <v>26.143696457620255</v>
      </c>
      <c r="W44" s="216">
        <v>26.456779484814614</v>
      </c>
      <c r="X44" s="216">
        <v>26.331753890305496</v>
      </c>
      <c r="Y44" s="216">
        <v>25.843220119559941</v>
      </c>
      <c r="Z44" s="216">
        <v>25.705127585219358</v>
      </c>
      <c r="AA44" s="216">
        <v>25.705127585219358</v>
      </c>
    </row>
    <row r="45" spans="1:27" x14ac:dyDescent="0.2">
      <c r="A45" s="207" t="s">
        <v>1218</v>
      </c>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1"/>
    </row>
    <row r="46" spans="1:27" x14ac:dyDescent="0.2">
      <c r="A46" s="213" t="s">
        <v>1219</v>
      </c>
      <c r="B46" s="342">
        <v>3.0889823798917963E-2</v>
      </c>
      <c r="C46" s="342">
        <v>3.3904155379506168E-2</v>
      </c>
      <c r="D46" s="342">
        <v>3.3508723571984408E-2</v>
      </c>
      <c r="E46" s="342">
        <v>3.4650280806185395E-2</v>
      </c>
      <c r="F46" s="342">
        <v>3.5882336650815562E-2</v>
      </c>
      <c r="G46" s="342">
        <v>3.6207767092333143E-2</v>
      </c>
      <c r="H46" s="342">
        <v>3.7984210807936611E-2</v>
      </c>
      <c r="I46" s="342">
        <v>3.8754065883529927E-2</v>
      </c>
      <c r="J46" s="342">
        <v>4.0496249751608135E-2</v>
      </c>
      <c r="K46" s="342">
        <v>4.1768975274718449E-2</v>
      </c>
      <c r="L46" s="342">
        <v>4.3151168182153928E-2</v>
      </c>
      <c r="M46" s="342">
        <v>4.7779775458328289E-2</v>
      </c>
      <c r="N46" s="342">
        <v>4.9683476177436271E-2</v>
      </c>
      <c r="O46" s="342">
        <v>5.2384044729295164E-2</v>
      </c>
      <c r="P46" s="342">
        <v>5.4644879687820648E-2</v>
      </c>
      <c r="Q46" s="342">
        <v>5.7800049349183445E-2</v>
      </c>
      <c r="R46" s="342">
        <v>6.1761585203861644E-2</v>
      </c>
      <c r="S46" s="342">
        <v>6.4149650055580279E-2</v>
      </c>
      <c r="T46" s="342">
        <v>6.8643324958722898E-2</v>
      </c>
      <c r="U46" s="342">
        <v>6.9657472884388019E-2</v>
      </c>
      <c r="V46" s="342">
        <v>7.0767536885346261E-2</v>
      </c>
      <c r="W46" s="342">
        <v>7.1660582946712362E-2</v>
      </c>
      <c r="X46" s="342">
        <v>7.1324138133214032E-2</v>
      </c>
      <c r="Y46" s="342">
        <v>7.027408892364706E-2</v>
      </c>
      <c r="Z46" s="342">
        <v>7.022026507879002E-2</v>
      </c>
      <c r="AA46" s="342">
        <v>7.022026507879002E-2</v>
      </c>
    </row>
    <row r="47" spans="1:27" x14ac:dyDescent="0.2">
      <c r="A47" s="212" t="s">
        <v>1220</v>
      </c>
      <c r="B47" s="215">
        <v>0.15808477494250828</v>
      </c>
      <c r="C47" s="215">
        <v>0.16468174996207391</v>
      </c>
      <c r="D47" s="215">
        <v>0.16379641268469927</v>
      </c>
      <c r="E47" s="215">
        <v>0.16688864057684297</v>
      </c>
      <c r="F47" s="215">
        <v>0.17103752900759583</v>
      </c>
      <c r="G47" s="215">
        <v>0.17243251953639041</v>
      </c>
      <c r="H47" s="215">
        <v>0.17679836207927888</v>
      </c>
      <c r="I47" s="215">
        <v>0.1793701349284551</v>
      </c>
      <c r="J47" s="215">
        <v>0.18591826933879596</v>
      </c>
      <c r="K47" s="215">
        <v>0.19271827940389272</v>
      </c>
      <c r="L47" s="215">
        <v>0.20106236270342942</v>
      </c>
      <c r="M47" s="215">
        <v>0.21761429100350602</v>
      </c>
      <c r="N47" s="215">
        <v>0.22745673843258299</v>
      </c>
      <c r="O47" s="215">
        <v>0.2378118280838166</v>
      </c>
      <c r="P47" s="215">
        <v>0.24898725340511318</v>
      </c>
      <c r="Q47" s="215">
        <v>0.26191818153033192</v>
      </c>
      <c r="R47" s="215">
        <v>0.27783790095014027</v>
      </c>
      <c r="S47" s="215">
        <v>0.29058159711386211</v>
      </c>
      <c r="T47" s="215">
        <v>0.30623020165856646</v>
      </c>
      <c r="U47" s="215">
        <v>0.31075171081788017</v>
      </c>
      <c r="V47" s="215">
        <v>0.31270588532799082</v>
      </c>
      <c r="W47" s="215">
        <v>0.31583777902895777</v>
      </c>
      <c r="X47" s="215">
        <v>0.31417100374890022</v>
      </c>
      <c r="Y47" s="215">
        <v>0.30956666970318064</v>
      </c>
      <c r="Z47" s="215">
        <v>0.30803457168882892</v>
      </c>
      <c r="AA47" s="215">
        <v>0.30803457168882892</v>
      </c>
    </row>
    <row r="48" spans="1:27" x14ac:dyDescent="0.2">
      <c r="A48" s="212" t="s">
        <v>1221</v>
      </c>
      <c r="B48" s="215">
        <v>0.11982539744967008</v>
      </c>
      <c r="C48" s="215">
        <v>0.12224464038458023</v>
      </c>
      <c r="D48" s="215">
        <v>0.12191563823802679</v>
      </c>
      <c r="E48" s="215">
        <v>0.13221156203819612</v>
      </c>
      <c r="F48" s="215">
        <v>0.14177684534881682</v>
      </c>
      <c r="G48" s="215">
        <v>0.14402823021678832</v>
      </c>
      <c r="H48" s="215">
        <v>0.16016532558499733</v>
      </c>
      <c r="I48" s="215">
        <v>0.1663988909284124</v>
      </c>
      <c r="J48" s="215">
        <v>0.17915795732560777</v>
      </c>
      <c r="K48" s="215">
        <v>0.18545883516078657</v>
      </c>
      <c r="L48" s="215">
        <v>0.19181693998648852</v>
      </c>
      <c r="M48" s="215">
        <v>0.22755602072312683</v>
      </c>
      <c r="N48" s="215">
        <v>0.23892406291652468</v>
      </c>
      <c r="O48" s="215">
        <v>0.25947411867442655</v>
      </c>
      <c r="P48" s="215">
        <v>0.27318862415971823</v>
      </c>
      <c r="Q48" s="215">
        <v>0.29597307394506506</v>
      </c>
      <c r="R48" s="215">
        <v>0.32435503009759875</v>
      </c>
      <c r="S48" s="215">
        <v>0.33736868254706071</v>
      </c>
      <c r="T48" s="215">
        <v>0.37259262754712885</v>
      </c>
      <c r="U48" s="215">
        <v>0.37933342387387292</v>
      </c>
      <c r="V48" s="215">
        <v>0.39105434147081936</v>
      </c>
      <c r="W48" s="215">
        <v>0.39812339200881081</v>
      </c>
      <c r="X48" s="215">
        <v>0.39625421170262587</v>
      </c>
      <c r="Y48" s="215">
        <v>0.39042047248507233</v>
      </c>
      <c r="Z48" s="215">
        <v>0.39012144433313317</v>
      </c>
      <c r="AA48" s="215">
        <v>0.39012144433313317</v>
      </c>
    </row>
    <row r="49" spans="1:27" x14ac:dyDescent="0.2">
      <c r="A49" s="206" t="s">
        <v>1222</v>
      </c>
      <c r="B49" s="216">
        <v>0.26806725772855439</v>
      </c>
      <c r="C49" s="216">
        <v>0.27347946443217036</v>
      </c>
      <c r="D49" s="216">
        <v>0.27274343763742975</v>
      </c>
      <c r="E49" s="216">
        <v>0.29577695238168789</v>
      </c>
      <c r="F49" s="216">
        <v>0.31717591554850577</v>
      </c>
      <c r="G49" s="216">
        <v>0.32221259876002745</v>
      </c>
      <c r="H49" s="216">
        <v>0.35831368413199061</v>
      </c>
      <c r="I49" s="216">
        <v>0.37225909806798774</v>
      </c>
      <c r="J49" s="216">
        <v>0.40080302959727254</v>
      </c>
      <c r="K49" s="216">
        <v>0.41489903160109193</v>
      </c>
      <c r="L49" s="216">
        <v>0.4291230589045899</v>
      </c>
      <c r="M49" s="216">
        <v>0.50907670454831999</v>
      </c>
      <c r="N49" s="216">
        <v>0.53450870779126081</v>
      </c>
      <c r="O49" s="216">
        <v>0.58048224270487092</v>
      </c>
      <c r="P49" s="216">
        <v>0.61116363375212002</v>
      </c>
      <c r="Q49" s="216">
        <v>0.66213584083682675</v>
      </c>
      <c r="R49" s="216">
        <v>0.72563050320986366</v>
      </c>
      <c r="S49" s="216">
        <v>0.75474398164939926</v>
      </c>
      <c r="T49" s="216">
        <v>0.8335451919396949</v>
      </c>
      <c r="U49" s="216">
        <v>0.84862535711900067</v>
      </c>
      <c r="V49" s="216">
        <v>0.87484679518763309</v>
      </c>
      <c r="W49" s="216">
        <v>0.89066131391902204</v>
      </c>
      <c r="X49" s="216">
        <v>0.88647967922768145</v>
      </c>
      <c r="Y49" s="216">
        <v>0.87342873587479208</v>
      </c>
      <c r="Z49" s="216">
        <v>0.87275976536953992</v>
      </c>
      <c r="AA49" s="216">
        <v>0.87275976536953992</v>
      </c>
    </row>
    <row r="50" spans="1:27" x14ac:dyDescent="0.2">
      <c r="A50" s="207" t="s">
        <v>1224</v>
      </c>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1"/>
    </row>
    <row r="51" spans="1:27" x14ac:dyDescent="0.2">
      <c r="A51" s="213" t="s">
        <v>1225</v>
      </c>
      <c r="B51" s="342">
        <v>3.0744665532068012E-2</v>
      </c>
      <c r="C51" s="342">
        <v>3.4080916341401965E-2</v>
      </c>
      <c r="D51" s="342">
        <v>3.3602822940593143E-2</v>
      </c>
      <c r="E51" s="342">
        <v>3.4767229484995756E-2</v>
      </c>
      <c r="F51" s="342">
        <v>3.6067379446076506E-2</v>
      </c>
      <c r="G51" s="342">
        <v>3.6431159439987551E-2</v>
      </c>
      <c r="H51" s="342">
        <v>3.8228084125709015E-2</v>
      </c>
      <c r="I51" s="342">
        <v>3.9043290077379562E-2</v>
      </c>
      <c r="J51" s="342">
        <v>4.0913752329795557E-2</v>
      </c>
      <c r="K51" s="342">
        <v>4.2377167535580303E-2</v>
      </c>
      <c r="L51" s="342">
        <v>4.4013183873199059E-2</v>
      </c>
      <c r="M51" s="342">
        <v>4.8944490661496962E-2</v>
      </c>
      <c r="N51" s="342">
        <v>5.1114382104280584E-2</v>
      </c>
      <c r="O51" s="342">
        <v>5.4029604865477546E-2</v>
      </c>
      <c r="P51" s="342">
        <v>5.6599226716690577E-2</v>
      </c>
      <c r="Q51" s="342">
        <v>6.0042006699457355E-2</v>
      </c>
      <c r="R51" s="342">
        <v>6.4357465660285454E-2</v>
      </c>
      <c r="S51" s="342">
        <v>6.7123209809636139E-2</v>
      </c>
      <c r="T51" s="342">
        <v>7.1906610655089492E-2</v>
      </c>
      <c r="U51" s="342">
        <v>7.3034734096374301E-2</v>
      </c>
      <c r="V51" s="342">
        <v>7.4118088560901199E-2</v>
      </c>
      <c r="W51" s="342">
        <v>7.5071965905216795E-2</v>
      </c>
      <c r="X51" s="342">
        <v>7.4719504726011549E-2</v>
      </c>
      <c r="Y51" s="342">
        <v>7.3619468203589847E-2</v>
      </c>
      <c r="Z51" s="342">
        <v>7.3563082088938817E-2</v>
      </c>
      <c r="AA51" s="342">
        <v>7.3563082088938817E-2</v>
      </c>
    </row>
    <row r="52" spans="1:27" x14ac:dyDescent="0.2">
      <c r="A52" s="212" t="s">
        <v>1226</v>
      </c>
      <c r="B52" s="215">
        <v>8.556581778038827E-2</v>
      </c>
      <c r="C52" s="215">
        <v>8.9135076262975912E-2</v>
      </c>
      <c r="D52" s="215">
        <v>8.8659472550312687E-2</v>
      </c>
      <c r="E52" s="215">
        <v>9.0333030546095497E-2</v>
      </c>
      <c r="F52" s="215">
        <v>9.2578114724656269E-2</v>
      </c>
      <c r="G52" s="215">
        <v>9.3330463042960027E-2</v>
      </c>
      <c r="H52" s="215">
        <v>9.5693668175680757E-2</v>
      </c>
      <c r="I52" s="215">
        <v>9.7087460229780834E-2</v>
      </c>
      <c r="J52" s="215">
        <v>0.10063124205107481</v>
      </c>
      <c r="K52" s="215">
        <v>0.10431286035685972</v>
      </c>
      <c r="L52" s="215">
        <v>0.10882759478514785</v>
      </c>
      <c r="M52" s="215">
        <v>0.11778657682275837</v>
      </c>
      <c r="N52" s="215">
        <v>0.12311373436374315</v>
      </c>
      <c r="O52" s="215">
        <v>0.12872066427676851</v>
      </c>
      <c r="P52" s="215">
        <v>0.13476633160025278</v>
      </c>
      <c r="Q52" s="215">
        <v>0.14176650104200889</v>
      </c>
      <c r="R52" s="215">
        <v>0.15038410952129683</v>
      </c>
      <c r="S52" s="215">
        <v>0.15728260259425181</v>
      </c>
      <c r="T52" s="215">
        <v>0.16575099275954233</v>
      </c>
      <c r="U52" s="215">
        <v>0.16819976925050892</v>
      </c>
      <c r="V52" s="215">
        <v>0.16925694067340624</v>
      </c>
      <c r="W52" s="215">
        <v>0.17095009147753618</v>
      </c>
      <c r="X52" s="215">
        <v>0.17004938638901951</v>
      </c>
      <c r="Y52" s="215">
        <v>0.16755660424147215</v>
      </c>
      <c r="Z52" s="215">
        <v>0.16672689708974478</v>
      </c>
      <c r="AA52" s="215">
        <v>0.16672689708974478</v>
      </c>
    </row>
    <row r="53" spans="1:27" x14ac:dyDescent="0.2">
      <c r="A53" s="206" t="s">
        <v>1699</v>
      </c>
      <c r="B53" s="216">
        <v>9092.7171096666698</v>
      </c>
      <c r="C53" s="216">
        <v>10299.031769546667</v>
      </c>
      <c r="D53" s="216">
        <v>10172.490763600001</v>
      </c>
      <c r="E53" s="216">
        <v>13719.215214320002</v>
      </c>
      <c r="F53" s="216">
        <v>13803.109091200004</v>
      </c>
      <c r="G53" s="216">
        <v>17167.790872026668</v>
      </c>
      <c r="H53" s="216">
        <v>16509.254940786668</v>
      </c>
      <c r="I53" s="216">
        <v>15524.688338280004</v>
      </c>
      <c r="J53" s="216">
        <v>6250.1311375066671</v>
      </c>
      <c r="K53" s="216">
        <v>6678.8904798000012</v>
      </c>
      <c r="L53" s="216">
        <v>5525.0354649600013</v>
      </c>
      <c r="M53" s="216">
        <v>5858.4748412666668</v>
      </c>
      <c r="N53" s="216">
        <v>5984.544658693334</v>
      </c>
      <c r="O53" s="216">
        <v>5920.2810108933345</v>
      </c>
      <c r="P53" s="216">
        <v>5822.6729932800008</v>
      </c>
      <c r="Q53" s="216">
        <v>7193.00146752</v>
      </c>
      <c r="R53" s="216">
        <v>7812.3476216133349</v>
      </c>
      <c r="S53" s="216">
        <v>8648.5558165600014</v>
      </c>
      <c r="T53" s="216">
        <v>10044.138529333335</v>
      </c>
      <c r="U53" s="216">
        <v>9959.9701344000005</v>
      </c>
      <c r="V53" s="216">
        <v>9966.9498297600021</v>
      </c>
      <c r="W53" s="216">
        <v>13084.704317520001</v>
      </c>
      <c r="X53" s="216">
        <v>12703.827204053336</v>
      </c>
      <c r="Y53" s="216">
        <v>15684.061823760001</v>
      </c>
      <c r="Z53" s="216">
        <v>17628.522431519999</v>
      </c>
      <c r="AA53" s="216">
        <v>17628.522431519999</v>
      </c>
    </row>
    <row r="54" spans="1:27" x14ac:dyDescent="0.2">
      <c r="A54" s="219" t="s">
        <v>1227</v>
      </c>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1"/>
    </row>
    <row r="55" spans="1:27" ht="24" x14ac:dyDescent="0.2">
      <c r="A55" s="213" t="s">
        <v>1228</v>
      </c>
      <c r="B55" s="193">
        <v>2.5143775331694549</v>
      </c>
      <c r="C55" s="193">
        <v>2.5645930291472729</v>
      </c>
      <c r="D55" s="193">
        <v>2.5780555432800005</v>
      </c>
      <c r="E55" s="193">
        <v>2.57017323595091</v>
      </c>
      <c r="F55" s="193">
        <v>2.6276111744989095</v>
      </c>
      <c r="G55" s="193">
        <v>2.6601142878163637</v>
      </c>
      <c r="H55" s="193">
        <v>2.7063366472145458</v>
      </c>
      <c r="I55" s="193">
        <v>2.7090928025901819</v>
      </c>
      <c r="J55" s="193">
        <v>2.782673027587637</v>
      </c>
      <c r="K55" s="193">
        <v>2.7754718025338185</v>
      </c>
      <c r="L55" s="193">
        <v>2.8021888991389092</v>
      </c>
      <c r="M55" s="193">
        <v>2.8630492230763638</v>
      </c>
      <c r="N55" s="193">
        <v>2.871476820576</v>
      </c>
      <c r="O55" s="193">
        <v>2.860787435832</v>
      </c>
      <c r="P55" s="193">
        <v>2.8086941896560003</v>
      </c>
      <c r="Q55" s="193">
        <v>2.7855416358</v>
      </c>
      <c r="R55" s="193">
        <v>2.7800015616606175</v>
      </c>
      <c r="S55" s="193">
        <v>2.6414546402456143</v>
      </c>
      <c r="T55" s="193">
        <v>2.5885582138799998</v>
      </c>
      <c r="U55" s="193">
        <v>2.4090790435642884</v>
      </c>
      <c r="V55" s="193">
        <v>2.3029952681196</v>
      </c>
      <c r="W55" s="193">
        <v>2.3029952681196</v>
      </c>
      <c r="X55" s="193">
        <v>2.3029952681196</v>
      </c>
      <c r="Y55" s="193">
        <v>2.3029952681196</v>
      </c>
      <c r="Z55" s="193">
        <v>2.3029952681196</v>
      </c>
      <c r="AA55" s="193">
        <v>2.3029952681196</v>
      </c>
    </row>
    <row r="56" spans="1:27" ht="24" x14ac:dyDescent="0.2">
      <c r="A56" s="212" t="s">
        <v>1229</v>
      </c>
      <c r="B56" s="196">
        <v>7.2183013200000021E-2</v>
      </c>
      <c r="C56" s="196">
        <v>7.2900063000000001E-2</v>
      </c>
      <c r="D56" s="196">
        <v>8.2277949599999997E-2</v>
      </c>
      <c r="E56" s="196">
        <v>8.3079358200000022E-2</v>
      </c>
      <c r="F56" s="196">
        <v>8.8295544000000004E-2</v>
      </c>
      <c r="G56" s="196">
        <v>0.10251000180000001</v>
      </c>
      <c r="H56" s="196">
        <v>0.11247840000000002</v>
      </c>
      <c r="I56" s="196">
        <v>0.12261551580000001</v>
      </c>
      <c r="J56" s="196">
        <v>0.13292134920000004</v>
      </c>
      <c r="K56" s="196">
        <v>0.16652427119999999</v>
      </c>
      <c r="L56" s="196">
        <v>0.17737843680000001</v>
      </c>
      <c r="M56" s="196">
        <v>0.18840132000000004</v>
      </c>
      <c r="N56" s="196">
        <v>0.20909734560000001</v>
      </c>
      <c r="O56" s="196">
        <v>0.22054202280000001</v>
      </c>
      <c r="P56" s="196">
        <v>0.23971959000000001</v>
      </c>
      <c r="Q56" s="196">
        <v>0.28286911619999999</v>
      </c>
      <c r="R56" s="196">
        <v>0.32116932224508887</v>
      </c>
      <c r="S56" s="196">
        <v>0.29211331136842106</v>
      </c>
      <c r="T56" s="196">
        <v>0.30158271000000003</v>
      </c>
      <c r="U56" s="196">
        <v>0.30997624844083727</v>
      </c>
      <c r="V56" s="196">
        <v>0.31774445010000002</v>
      </c>
      <c r="W56" s="196">
        <v>0.31774445010000002</v>
      </c>
      <c r="X56" s="196">
        <v>0.31774445010000002</v>
      </c>
      <c r="Y56" s="196">
        <v>0.31774445010000002</v>
      </c>
      <c r="Z56" s="196">
        <v>0.31774445010000002</v>
      </c>
      <c r="AA56" s="196">
        <v>0.31774445010000002</v>
      </c>
    </row>
    <row r="57" spans="1:27" x14ac:dyDescent="0.2">
      <c r="A57" s="206" t="s">
        <v>1700</v>
      </c>
      <c r="B57" s="195">
        <v>230.37215458323737</v>
      </c>
      <c r="C57" s="195">
        <v>220.92847052329392</v>
      </c>
      <c r="D57" s="195">
        <v>163.13207821574403</v>
      </c>
      <c r="E57" s="195">
        <v>163.0719783645568</v>
      </c>
      <c r="F57" s="195">
        <v>167.07479685124801</v>
      </c>
      <c r="G57" s="195">
        <v>197.2220778533339</v>
      </c>
      <c r="H57" s="195">
        <v>243.64671703507528</v>
      </c>
      <c r="I57" s="195">
        <v>308.5689569790564</v>
      </c>
      <c r="J57" s="195">
        <v>316.05990315665923</v>
      </c>
      <c r="K57" s="195">
        <v>238.36550189870877</v>
      </c>
      <c r="L57" s="195">
        <v>204.30662328853921</v>
      </c>
      <c r="M57" s="195">
        <v>204.9281780612734</v>
      </c>
      <c r="N57" s="195">
        <v>210.44335042738189</v>
      </c>
      <c r="O57" s="195">
        <v>155.01676398218564</v>
      </c>
      <c r="P57" s="195">
        <v>164.64199891659524</v>
      </c>
      <c r="Q57" s="195">
        <v>180.66293803461753</v>
      </c>
      <c r="R57" s="195">
        <v>146.48351213352723</v>
      </c>
      <c r="S57" s="195">
        <v>159.76449424461424</v>
      </c>
      <c r="T57" s="195">
        <v>360.00393190737339</v>
      </c>
      <c r="U57" s="195">
        <v>360.33120820910733</v>
      </c>
      <c r="V57" s="195">
        <v>359.34937930390544</v>
      </c>
      <c r="W57" s="195">
        <v>373.74953658020036</v>
      </c>
      <c r="X57" s="195">
        <v>357.05844519176759</v>
      </c>
      <c r="Y57" s="195">
        <v>360.33120820910733</v>
      </c>
      <c r="Z57" s="195">
        <v>365.24035273511703</v>
      </c>
      <c r="AA57" s="195">
        <v>365.24035273511703</v>
      </c>
    </row>
    <row r="58" spans="1:27" ht="12.75" x14ac:dyDescent="0.2">
      <c r="A58" s="175" t="s">
        <v>1701</v>
      </c>
      <c r="B58" s="223"/>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4"/>
    </row>
    <row r="59" spans="1:27" s="227" customFormat="1" x14ac:dyDescent="0.2">
      <c r="A59" s="225" t="s">
        <v>758</v>
      </c>
      <c r="B59" s="226">
        <v>27762.604047040073</v>
      </c>
      <c r="C59" s="226">
        <v>26778.804118924632</v>
      </c>
      <c r="D59" s="226">
        <v>26706.307443917714</v>
      </c>
      <c r="E59" s="226">
        <v>26488.446590545784</v>
      </c>
      <c r="F59" s="226">
        <v>26453.511968531697</v>
      </c>
      <c r="G59" s="226">
        <v>24632.007222824453</v>
      </c>
      <c r="H59" s="226">
        <v>22738.59035210482</v>
      </c>
      <c r="I59" s="226">
        <v>23169.866078356299</v>
      </c>
      <c r="J59" s="226">
        <v>22460.24930059956</v>
      </c>
      <c r="K59" s="226">
        <v>23118.5801926532</v>
      </c>
      <c r="L59" s="226">
        <v>23343.494090458618</v>
      </c>
      <c r="M59" s="226">
        <v>22398.242565291155</v>
      </c>
      <c r="N59" s="226">
        <v>23076.418267874767</v>
      </c>
      <c r="O59" s="226">
        <v>22012.830484274022</v>
      </c>
      <c r="P59" s="226">
        <v>21789.842528900241</v>
      </c>
      <c r="Q59" s="226">
        <v>21746.054353706932</v>
      </c>
      <c r="R59" s="226">
        <v>21213.873915145959</v>
      </c>
      <c r="S59" s="226">
        <v>21198.94315773412</v>
      </c>
      <c r="T59" s="226">
        <v>21384.71293516492</v>
      </c>
      <c r="U59" s="226">
        <v>21188.034950273995</v>
      </c>
      <c r="V59" s="226">
        <v>21345.84017353574</v>
      </c>
      <c r="W59" s="226">
        <v>21466.341691149843</v>
      </c>
      <c r="X59" s="226">
        <v>21468.72204663782</v>
      </c>
      <c r="Y59" s="226">
        <v>21756.440109787141</v>
      </c>
      <c r="Z59" s="226">
        <v>23712.955517108134</v>
      </c>
      <c r="AA59" s="226">
        <v>23712.955517108134</v>
      </c>
    </row>
    <row r="60" spans="1:27" x14ac:dyDescent="0.2">
      <c r="A60" s="219" t="s">
        <v>1173</v>
      </c>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1"/>
    </row>
    <row r="61" spans="1:27" s="211" customFormat="1" x14ac:dyDescent="0.2">
      <c r="A61" s="208" t="s">
        <v>1702</v>
      </c>
      <c r="B61" s="228">
        <v>2.5601731226413058</v>
      </c>
      <c r="C61" s="228">
        <v>2.4693391222322187</v>
      </c>
      <c r="D61" s="228">
        <v>2.4626106777574717</v>
      </c>
      <c r="E61" s="228">
        <v>2.4424253443332304</v>
      </c>
      <c r="F61" s="228">
        <v>2.4390611220958567</v>
      </c>
      <c r="G61" s="228">
        <v>2.2708500102271767</v>
      </c>
      <c r="H61" s="228">
        <v>2.0959104538837501</v>
      </c>
      <c r="I61" s="228">
        <v>2.0689966759847613</v>
      </c>
      <c r="J61" s="228">
        <v>1.8772360084544661</v>
      </c>
      <c r="K61" s="228">
        <v>1.9546131199140586</v>
      </c>
      <c r="L61" s="228">
        <v>1.9680700088635532</v>
      </c>
      <c r="M61" s="228">
        <v>1.9176066753029493</v>
      </c>
      <c r="N61" s="228">
        <v>1.9848911200504211</v>
      </c>
      <c r="O61" s="228">
        <v>1.9310635642524439</v>
      </c>
      <c r="P61" s="228">
        <v>1.9243351197776963</v>
      </c>
      <c r="Q61" s="228">
        <v>1.9041497863534551</v>
      </c>
      <c r="R61" s="228">
        <v>1.920970897540323</v>
      </c>
      <c r="S61" s="228">
        <v>1.9310635642524439</v>
      </c>
      <c r="T61" s="228">
        <v>1.9411562309645645</v>
      </c>
      <c r="U61" s="228">
        <v>1.9478846754393115</v>
      </c>
      <c r="V61" s="228">
        <v>1.9680700088635532</v>
      </c>
      <c r="W61" s="228">
        <v>2.0387186758483988</v>
      </c>
      <c r="X61" s="228">
        <v>2.0387186758483988</v>
      </c>
      <c r="Y61" s="228">
        <v>2.1867444542928371</v>
      </c>
      <c r="Z61" s="228">
        <v>2.2473004545655617</v>
      </c>
      <c r="AA61" s="228">
        <v>2.2473004545655617</v>
      </c>
    </row>
    <row r="62" spans="1:27" x14ac:dyDescent="0.2">
      <c r="A62" s="209" t="s">
        <v>1703</v>
      </c>
      <c r="B62" s="210">
        <v>0.56845977240688128</v>
      </c>
      <c r="C62" s="210">
        <v>0.54829102883922576</v>
      </c>
      <c r="D62" s="210">
        <v>0.54679704783421423</v>
      </c>
      <c r="E62" s="210">
        <v>0.54231510481917966</v>
      </c>
      <c r="F62" s="210">
        <v>0.54156811431667407</v>
      </c>
      <c r="G62" s="210">
        <v>0.50421858919138607</v>
      </c>
      <c r="H62" s="210">
        <v>0.46537508306108666</v>
      </c>
      <c r="I62" s="210">
        <v>0.45939915904104067</v>
      </c>
      <c r="J62" s="210">
        <v>0.41682070039821251</v>
      </c>
      <c r="K62" s="210">
        <v>0.43400148195584487</v>
      </c>
      <c r="L62" s="210">
        <v>0.43698944396586792</v>
      </c>
      <c r="M62" s="210">
        <v>0.4257845864282816</v>
      </c>
      <c r="N62" s="210">
        <v>0.44072439647839678</v>
      </c>
      <c r="O62" s="210">
        <v>0.42877254843830465</v>
      </c>
      <c r="P62" s="210">
        <v>0.42727856743329312</v>
      </c>
      <c r="Q62" s="210">
        <v>0.4227966244182586</v>
      </c>
      <c r="R62" s="210">
        <v>0.42653157693078741</v>
      </c>
      <c r="S62" s="210">
        <v>0.42877254843830465</v>
      </c>
      <c r="T62" s="210">
        <v>0.43101351994582188</v>
      </c>
      <c r="U62" s="210">
        <v>0.43250750095083346</v>
      </c>
      <c r="V62" s="210">
        <v>0.43698944396586792</v>
      </c>
      <c r="W62" s="210">
        <v>0.45267624451848887</v>
      </c>
      <c r="X62" s="210">
        <v>0.45267624451848887</v>
      </c>
      <c r="Y62" s="210">
        <v>0.48554382662874224</v>
      </c>
      <c r="Z62" s="210">
        <v>0.49898965567384584</v>
      </c>
      <c r="AA62" s="210">
        <v>0.49898965567384584</v>
      </c>
    </row>
    <row r="63" spans="1:27" ht="24" x14ac:dyDescent="0.2">
      <c r="A63" s="209" t="s">
        <v>1704</v>
      </c>
      <c r="B63" s="210">
        <v>19.668944658340408</v>
      </c>
      <c r="C63" s="210">
        <v>19.503081268569993</v>
      </c>
      <c r="D63" s="210">
        <v>19.657124150254624</v>
      </c>
      <c r="E63" s="210">
        <v>19.960861828821841</v>
      </c>
      <c r="F63" s="210">
        <v>20.639417298864842</v>
      </c>
      <c r="G63" s="210">
        <v>20.485184583956013</v>
      </c>
      <c r="H63" s="210">
        <v>20.760943331186631</v>
      </c>
      <c r="I63" s="210">
        <v>20.829325100408269</v>
      </c>
      <c r="J63" s="210">
        <v>20.969059302818419</v>
      </c>
      <c r="K63" s="210">
        <v>20.756266428121251</v>
      </c>
      <c r="L63" s="210">
        <v>21.156240511683226</v>
      </c>
      <c r="M63" s="210">
        <v>21.632580659480158</v>
      </c>
      <c r="N63" s="210">
        <v>20.864365149709506</v>
      </c>
      <c r="O63" s="210">
        <v>21.027694039944848</v>
      </c>
      <c r="P63" s="210">
        <v>20.473853348406418</v>
      </c>
      <c r="Q63" s="210">
        <v>19.846292958175244</v>
      </c>
      <c r="R63" s="210">
        <v>20.406253511274965</v>
      </c>
      <c r="S63" s="210">
        <v>21.279982394913745</v>
      </c>
      <c r="T63" s="210">
        <v>22.328633554980421</v>
      </c>
      <c r="U63" s="210">
        <v>22.855607195495445</v>
      </c>
      <c r="V63" s="210">
        <v>23.663359994045535</v>
      </c>
      <c r="W63" s="210">
        <v>25.475816431299091</v>
      </c>
      <c r="X63" s="210">
        <v>26.759412195392237</v>
      </c>
      <c r="Y63" s="210">
        <v>26.969671700514006</v>
      </c>
      <c r="Z63" s="210">
        <v>28.681392233375259</v>
      </c>
      <c r="AA63" s="210">
        <v>28.681392233375259</v>
      </c>
    </row>
    <row r="64" spans="1:27" ht="24" x14ac:dyDescent="0.2">
      <c r="A64" s="209" t="s">
        <v>1705</v>
      </c>
      <c r="B64" s="210">
        <v>4.3672842688186631</v>
      </c>
      <c r="C64" s="210">
        <v>4.3304560309289348</v>
      </c>
      <c r="D64" s="210">
        <v>4.3646596481331503</v>
      </c>
      <c r="E64" s="210">
        <v>4.4321014356055466</v>
      </c>
      <c r="F64" s="210">
        <v>4.5827676091759235</v>
      </c>
      <c r="G64" s="210">
        <v>4.5485218414817785</v>
      </c>
      <c r="H64" s="210">
        <v>4.6097511987090742</v>
      </c>
      <c r="I64" s="210">
        <v>4.6249346582277822</v>
      </c>
      <c r="J64" s="210">
        <v>4.6559611822534634</v>
      </c>
      <c r="K64" s="210">
        <v>4.6087127411029822</v>
      </c>
      <c r="L64" s="210">
        <v>4.6975228198041128</v>
      </c>
      <c r="M64" s="210">
        <v>4.8032891875587822</v>
      </c>
      <c r="N64" s="210">
        <v>4.6327149361608466</v>
      </c>
      <c r="O64" s="210">
        <v>4.6689804148308438</v>
      </c>
      <c r="P64" s="210">
        <v>4.5460058586661454</v>
      </c>
      <c r="Q64" s="210">
        <v>4.4066626113492058</v>
      </c>
      <c r="R64" s="210">
        <v>4.5309960190226271</v>
      </c>
      <c r="S64" s="210">
        <v>4.7249984159488951</v>
      </c>
      <c r="T64" s="210">
        <v>4.957840482180222</v>
      </c>
      <c r="U64" s="210">
        <v>5.0748494895408438</v>
      </c>
      <c r="V64" s="210">
        <v>5.2542025840499669</v>
      </c>
      <c r="W64" s="210">
        <v>5.6566396554756633</v>
      </c>
      <c r="X64" s="210">
        <v>5.9416487235991609</v>
      </c>
      <c r="Y64" s="210">
        <v>5.9883346564256845</v>
      </c>
      <c r="Z64" s="210">
        <v>6.3684043696529722</v>
      </c>
      <c r="AA64" s="210">
        <v>6.3684043696529722</v>
      </c>
    </row>
    <row r="65" spans="1:28" ht="24" x14ac:dyDescent="0.2">
      <c r="A65" s="209" t="s">
        <v>1706</v>
      </c>
      <c r="B65" s="210">
        <v>14.545176575266835</v>
      </c>
      <c r="C65" s="210">
        <v>14.422520665990074</v>
      </c>
      <c r="D65" s="210">
        <v>14.536435314344926</v>
      </c>
      <c r="E65" s="210">
        <v>14.74267170404009</v>
      </c>
      <c r="F65" s="210">
        <v>15.162351862759332</v>
      </c>
      <c r="G65" s="210">
        <v>15.04829683281239</v>
      </c>
      <c r="H65" s="210">
        <v>15.18548172031509</v>
      </c>
      <c r="I65" s="210">
        <v>15.215362982899691</v>
      </c>
      <c r="J65" s="210">
        <v>15.267969070241952</v>
      </c>
      <c r="K65" s="210">
        <v>15.110608825948587</v>
      </c>
      <c r="L65" s="210">
        <v>15.212787603590124</v>
      </c>
      <c r="M65" s="210">
        <v>15.305654394693111</v>
      </c>
      <c r="N65" s="210">
        <v>14.737559337659404</v>
      </c>
      <c r="O65" s="210">
        <v>14.749637502449541</v>
      </c>
      <c r="P65" s="210">
        <v>14.340072536309968</v>
      </c>
      <c r="Q65" s="210">
        <v>13.87599188296972</v>
      </c>
      <c r="R65" s="210">
        <v>13.917400943097233</v>
      </c>
      <c r="S65" s="210">
        <v>13.982013158506808</v>
      </c>
      <c r="T65" s="210">
        <v>14.05956086914394</v>
      </c>
      <c r="U65" s="210">
        <v>14.098530548427432</v>
      </c>
      <c r="V65" s="210">
        <v>14.15826383502802</v>
      </c>
      <c r="W65" s="210">
        <v>14.292294914848325</v>
      </c>
      <c r="X65" s="210">
        <v>14.38721676939776</v>
      </c>
      <c r="Y65" s="210">
        <v>14.402765451250032</v>
      </c>
      <c r="Z65" s="210">
        <v>14.529347115037565</v>
      </c>
      <c r="AA65" s="210">
        <v>14.529347115037565</v>
      </c>
    </row>
    <row r="66" spans="1:28" ht="24" x14ac:dyDescent="0.2">
      <c r="A66" s="209" t="s">
        <v>1707</v>
      </c>
      <c r="B66" s="210">
        <v>3.2296049405689056</v>
      </c>
      <c r="C66" s="210">
        <v>3.2023704736279002</v>
      </c>
      <c r="D66" s="210">
        <v>3.2276640346394307</v>
      </c>
      <c r="E66" s="210">
        <v>3.2734566765945092</v>
      </c>
      <c r="F66" s="210">
        <v>3.3666422840049539</v>
      </c>
      <c r="G66" s="210">
        <v>3.3413175527232633</v>
      </c>
      <c r="H66" s="210">
        <v>3.3717780279301093</v>
      </c>
      <c r="I66" s="210">
        <v>3.3784128510121305</v>
      </c>
      <c r="J66" s="210">
        <v>3.3900934847057407</v>
      </c>
      <c r="K66" s="210">
        <v>3.3551532816914191</v>
      </c>
      <c r="L66" s="210">
        <v>3.3778410148643205</v>
      </c>
      <c r="M66" s="210">
        <v>3.398461118429855</v>
      </c>
      <c r="N66" s="210">
        <v>3.2723215288955028</v>
      </c>
      <c r="O66" s="210">
        <v>3.2750033595681924</v>
      </c>
      <c r="P66" s="210">
        <v>3.1840637252995005</v>
      </c>
      <c r="Q66" s="210">
        <v>3.0810194505810542</v>
      </c>
      <c r="R66" s="210">
        <v>3.0902139010217273</v>
      </c>
      <c r="S66" s="210">
        <v>3.1045603703841342</v>
      </c>
      <c r="T66" s="210">
        <v>3.121779031711998</v>
      </c>
      <c r="U66" s="210">
        <v>3.1304318430474312</v>
      </c>
      <c r="V66" s="210">
        <v>3.1436949970918935</v>
      </c>
      <c r="W66" s="210">
        <v>3.1734552021562661</v>
      </c>
      <c r="X66" s="210">
        <v>3.1945316111523669</v>
      </c>
      <c r="Y66" s="210">
        <v>3.1979840339861196</v>
      </c>
      <c r="Z66" s="210">
        <v>3.2260901738214249</v>
      </c>
      <c r="AA66" s="210">
        <v>3.2260901738214249</v>
      </c>
    </row>
    <row r="67" spans="1:28" ht="24" x14ac:dyDescent="0.2">
      <c r="A67" s="209" t="s">
        <v>1708</v>
      </c>
      <c r="B67" s="210">
        <v>0</v>
      </c>
      <c r="C67" s="210">
        <v>0</v>
      </c>
      <c r="D67" s="210">
        <v>0</v>
      </c>
      <c r="E67" s="343">
        <v>9.0113459018961589E-3</v>
      </c>
      <c r="F67" s="343">
        <v>4.9274365511614911E-2</v>
      </c>
      <c r="G67" s="343">
        <v>4.9274365511614911E-2</v>
      </c>
      <c r="H67" s="210">
        <v>8.1999412578420819E-2</v>
      </c>
      <c r="I67" s="210">
        <v>9.2143227773601899E-2</v>
      </c>
      <c r="J67" s="210">
        <v>0.11701718950630378</v>
      </c>
      <c r="K67" s="210">
        <v>0.11701718950630378</v>
      </c>
      <c r="L67" s="210">
        <v>0.21194923312428535</v>
      </c>
      <c r="M67" s="210">
        <v>0.33913856548193183</v>
      </c>
      <c r="N67" s="210">
        <v>0.33913856548193183</v>
      </c>
      <c r="O67" s="210">
        <v>0.39244095608058571</v>
      </c>
      <c r="P67" s="210">
        <v>0.39244095608058571</v>
      </c>
      <c r="Q67" s="210">
        <v>0.39244095608058571</v>
      </c>
      <c r="R67" s="210">
        <v>0.57518410751051774</v>
      </c>
      <c r="S67" s="210">
        <v>0.86032556757881784</v>
      </c>
      <c r="T67" s="210">
        <v>1.2025529203457725</v>
      </c>
      <c r="U67" s="210">
        <v>1.3745307913853275</v>
      </c>
      <c r="V67" s="210">
        <v>1.6381409531481017</v>
      </c>
      <c r="W67" s="210">
        <v>2.2296361921246892</v>
      </c>
      <c r="X67" s="210">
        <v>2.6485377268739052</v>
      </c>
      <c r="Y67" s="210">
        <v>2.7171559257297933</v>
      </c>
      <c r="Z67" s="210">
        <v>3.2757759978238385</v>
      </c>
      <c r="AA67" s="210">
        <v>3.2757759978238385</v>
      </c>
    </row>
    <row r="68" spans="1:28" ht="24" x14ac:dyDescent="0.2">
      <c r="A68" s="344" t="s">
        <v>1709</v>
      </c>
      <c r="B68" s="231">
        <v>0</v>
      </c>
      <c r="C68" s="231">
        <v>0</v>
      </c>
      <c r="D68" s="231">
        <v>0</v>
      </c>
      <c r="E68" s="345">
        <v>2.0008754857900575E-3</v>
      </c>
      <c r="F68" s="345">
        <v>1.0940859567859196E-2</v>
      </c>
      <c r="G68" s="345">
        <v>1.0940859567859196E-2</v>
      </c>
      <c r="H68" s="345">
        <v>1.8207115370282648E-2</v>
      </c>
      <c r="I68" s="345">
        <v>2.0459443865646666E-2</v>
      </c>
      <c r="J68" s="345">
        <v>2.5982447954854999E-2</v>
      </c>
      <c r="K68" s="345">
        <v>2.5982447954854999E-2</v>
      </c>
      <c r="L68" s="345">
        <v>4.7061119327485725E-2</v>
      </c>
      <c r="M68" s="231">
        <v>7.5302185638664573E-2</v>
      </c>
      <c r="N68" s="231">
        <v>7.5302185638664573E-2</v>
      </c>
      <c r="O68" s="231">
        <v>8.7137426216923955E-2</v>
      </c>
      <c r="P68" s="231">
        <v>8.7137426216923955E-2</v>
      </c>
      <c r="Q68" s="231">
        <v>8.7137426216923955E-2</v>
      </c>
      <c r="R68" s="231">
        <v>0.12771363934566782</v>
      </c>
      <c r="S68" s="231">
        <v>0.19102633021829271</v>
      </c>
      <c r="T68" s="231">
        <v>0.26701434889751585</v>
      </c>
      <c r="U68" s="231">
        <v>0.30520024365814225</v>
      </c>
      <c r="V68" s="231">
        <v>0.36373213403483962</v>
      </c>
      <c r="W68" s="231">
        <v>0.49506749020852209</v>
      </c>
      <c r="X68" s="231">
        <v>0.58808021227739427</v>
      </c>
      <c r="Y68" s="231">
        <v>0.60331616853348735</v>
      </c>
      <c r="Z68" s="231">
        <v>0.72735193636346918</v>
      </c>
      <c r="AA68" s="231">
        <v>0.72735193636346918</v>
      </c>
    </row>
    <row r="69" spans="1:28" x14ac:dyDescent="0.2">
      <c r="A69" s="186" t="s">
        <v>1186</v>
      </c>
      <c r="B69" s="187"/>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c r="AA69" s="188"/>
    </row>
    <row r="70" spans="1:28" x14ac:dyDescent="0.2">
      <c r="A70" s="346" t="s">
        <v>1198</v>
      </c>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3"/>
    </row>
    <row r="71" spans="1:28" x14ac:dyDescent="0.2">
      <c r="A71" s="234" t="s">
        <v>1239</v>
      </c>
      <c r="B71" s="235"/>
      <c r="C71" s="235"/>
      <c r="D71" s="235"/>
      <c r="E71" s="235"/>
      <c r="F71" s="235"/>
      <c r="G71" s="235"/>
      <c r="H71" s="235"/>
      <c r="I71" s="235"/>
      <c r="J71" s="235"/>
      <c r="K71" s="235"/>
      <c r="L71" s="235"/>
      <c r="M71" s="235"/>
      <c r="N71" s="235"/>
      <c r="O71" s="235"/>
      <c r="P71" s="235"/>
      <c r="Q71" s="235"/>
      <c r="R71" s="235"/>
      <c r="S71" s="235"/>
      <c r="T71" s="235"/>
      <c r="U71" s="235"/>
      <c r="V71" s="235"/>
      <c r="W71" s="235"/>
      <c r="X71" s="235"/>
      <c r="Y71" s="235"/>
      <c r="Z71" s="235"/>
      <c r="AA71" s="236"/>
    </row>
    <row r="72" spans="1:28" x14ac:dyDescent="0.2">
      <c r="A72" s="208" t="s">
        <v>1240</v>
      </c>
      <c r="B72" s="228" t="s">
        <v>1234</v>
      </c>
      <c r="C72" s="228" t="s">
        <v>1234</v>
      </c>
      <c r="D72" s="228" t="s">
        <v>1234</v>
      </c>
      <c r="E72" s="228" t="s">
        <v>1234</v>
      </c>
      <c r="F72" s="228" t="s">
        <v>1234</v>
      </c>
      <c r="G72" s="228" t="s">
        <v>1234</v>
      </c>
      <c r="H72" s="228" t="s">
        <v>1234</v>
      </c>
      <c r="I72" s="228" t="s">
        <v>1234</v>
      </c>
      <c r="J72" s="228" t="s">
        <v>1234</v>
      </c>
      <c r="K72" s="228" t="s">
        <v>1234</v>
      </c>
      <c r="L72" s="228" t="s">
        <v>1234</v>
      </c>
      <c r="M72" s="228" t="s">
        <v>1234</v>
      </c>
      <c r="N72" s="228" t="s">
        <v>1234</v>
      </c>
      <c r="O72" s="228" t="s">
        <v>1234</v>
      </c>
      <c r="P72" s="228" t="s">
        <v>1234</v>
      </c>
      <c r="Q72" s="228" t="s">
        <v>1234</v>
      </c>
      <c r="R72" s="228" t="s">
        <v>1234</v>
      </c>
      <c r="S72" s="228" t="s">
        <v>1234</v>
      </c>
      <c r="T72" s="228" t="s">
        <v>1234</v>
      </c>
      <c r="U72" s="228" t="s">
        <v>1234</v>
      </c>
      <c r="V72" s="228" t="s">
        <v>1234</v>
      </c>
      <c r="W72" s="228" t="s">
        <v>1234</v>
      </c>
      <c r="X72" s="228" t="s">
        <v>1234</v>
      </c>
      <c r="Y72" s="228" t="s">
        <v>1234</v>
      </c>
      <c r="Z72" s="228" t="s">
        <v>1234</v>
      </c>
      <c r="AA72" s="228" t="s">
        <v>1234</v>
      </c>
    </row>
    <row r="73" spans="1:28" x14ac:dyDescent="0.2">
      <c r="A73" s="209" t="s">
        <v>1241</v>
      </c>
      <c r="B73" s="210" t="s">
        <v>1234</v>
      </c>
      <c r="C73" s="210" t="s">
        <v>1234</v>
      </c>
      <c r="D73" s="210" t="s">
        <v>1234</v>
      </c>
      <c r="E73" s="210" t="s">
        <v>1234</v>
      </c>
      <c r="F73" s="210" t="s">
        <v>1234</v>
      </c>
      <c r="G73" s="210" t="s">
        <v>1234</v>
      </c>
      <c r="H73" s="210" t="s">
        <v>1234</v>
      </c>
      <c r="I73" s="210" t="s">
        <v>1234</v>
      </c>
      <c r="J73" s="210" t="s">
        <v>1234</v>
      </c>
      <c r="K73" s="210" t="s">
        <v>1234</v>
      </c>
      <c r="L73" s="210" t="s">
        <v>1234</v>
      </c>
      <c r="M73" s="210" t="s">
        <v>1234</v>
      </c>
      <c r="N73" s="210" t="s">
        <v>1234</v>
      </c>
      <c r="O73" s="210" t="s">
        <v>1234</v>
      </c>
      <c r="P73" s="210" t="s">
        <v>1234</v>
      </c>
      <c r="Q73" s="210" t="s">
        <v>1234</v>
      </c>
      <c r="R73" s="210" t="s">
        <v>1234</v>
      </c>
      <c r="S73" s="210" t="s">
        <v>1234</v>
      </c>
      <c r="T73" s="210" t="s">
        <v>1234</v>
      </c>
      <c r="U73" s="210" t="s">
        <v>1234</v>
      </c>
      <c r="V73" s="210" t="s">
        <v>1234</v>
      </c>
      <c r="W73" s="210" t="s">
        <v>1234</v>
      </c>
      <c r="X73" s="210" t="s">
        <v>1234</v>
      </c>
      <c r="Y73" s="210" t="s">
        <v>1234</v>
      </c>
      <c r="Z73" s="210" t="s">
        <v>1234</v>
      </c>
      <c r="AA73" s="210" t="s">
        <v>1234</v>
      </c>
    </row>
    <row r="74" spans="1:28" x14ac:dyDescent="0.2">
      <c r="A74" s="209" t="s">
        <v>1242</v>
      </c>
      <c r="B74" s="210">
        <v>27708.198208973692</v>
      </c>
      <c r="C74" s="210">
        <v>26725.121531388551</v>
      </c>
      <c r="D74" s="210">
        <v>26652.301036752615</v>
      </c>
      <c r="E74" s="210">
        <v>26433.839552844813</v>
      </c>
      <c r="F74" s="210">
        <v>26397.429305526843</v>
      </c>
      <c r="G74" s="210">
        <v>24576.916939628441</v>
      </c>
      <c r="H74" s="210">
        <v>22683.584079094104</v>
      </c>
      <c r="I74" s="210">
        <v>23114.820323315009</v>
      </c>
      <c r="J74" s="210">
        <v>22405.650460916811</v>
      </c>
      <c r="K74" s="210">
        <v>23064.168652388198</v>
      </c>
      <c r="L74" s="210">
        <v>23288.244209460743</v>
      </c>
      <c r="M74" s="210">
        <v>22342.266168123999</v>
      </c>
      <c r="N74" s="210">
        <v>23021.927947000611</v>
      </c>
      <c r="O74" s="210">
        <v>21958.242857537618</v>
      </c>
      <c r="P74" s="210">
        <v>21736.537241031379</v>
      </c>
      <c r="Q74" s="210">
        <v>21694.25006622092</v>
      </c>
      <c r="R74" s="210">
        <v>21160.966969380497</v>
      </c>
      <c r="S74" s="210">
        <v>21144.377385416396</v>
      </c>
      <c r="T74" s="210">
        <v>21328.163952861833</v>
      </c>
      <c r="U74" s="210">
        <v>21130.483027978677</v>
      </c>
      <c r="V74" s="210">
        <v>21286.713227663018</v>
      </c>
      <c r="W74" s="210">
        <v>21403.583826177626</v>
      </c>
      <c r="X74" s="210">
        <v>21403.583826177626</v>
      </c>
      <c r="Y74" s="210">
        <v>21690.346634699952</v>
      </c>
      <c r="Z74" s="210">
        <v>23643.456477868564</v>
      </c>
      <c r="AA74" s="210">
        <v>23643.456477868564</v>
      </c>
    </row>
    <row r="75" spans="1:28" x14ac:dyDescent="0.2">
      <c r="A75" s="209" t="s">
        <v>1710</v>
      </c>
      <c r="B75" s="210">
        <v>0.39340468092533543</v>
      </c>
      <c r="C75" s="210">
        <v>0.39008719566807964</v>
      </c>
      <c r="D75" s="210">
        <v>0.39316825526586863</v>
      </c>
      <c r="E75" s="210">
        <v>0.39924340706467504</v>
      </c>
      <c r="F75" s="210">
        <v>0.41281540611289086</v>
      </c>
      <c r="G75" s="210">
        <v>0.40973054960172939</v>
      </c>
      <c r="H75" s="210">
        <v>0.41524608609090402</v>
      </c>
      <c r="I75" s="210">
        <v>0.41661381112999707</v>
      </c>
      <c r="J75" s="210">
        <v>0.41940867838232898</v>
      </c>
      <c r="K75" s="210">
        <v>0.41515254189775502</v>
      </c>
      <c r="L75" s="210">
        <v>0.42315254797105395</v>
      </c>
      <c r="M75" s="210">
        <v>0.43267997545184234</v>
      </c>
      <c r="N75" s="210">
        <v>0.41731465805668344</v>
      </c>
      <c r="O75" s="210">
        <v>0.42058145000028047</v>
      </c>
      <c r="P75" s="210">
        <v>0.40950391003446679</v>
      </c>
      <c r="Q75" s="210">
        <v>0.39695187944163152</v>
      </c>
      <c r="R75" s="210">
        <v>0.40815182466236094</v>
      </c>
      <c r="S75" s="210">
        <v>0.4256275478724218</v>
      </c>
      <c r="T75" s="210">
        <v>0.44660194594990471</v>
      </c>
      <c r="U75" s="210">
        <v>0.45714210967012597</v>
      </c>
      <c r="V75" s="210">
        <v>0.47329822467782134</v>
      </c>
      <c r="W75" s="210">
        <v>0.50954972971657553</v>
      </c>
      <c r="X75" s="210">
        <v>0.53522332790813121</v>
      </c>
      <c r="Y75" s="210">
        <v>0.53942879367972119</v>
      </c>
      <c r="Z75" s="210">
        <v>0.5736654485567827</v>
      </c>
      <c r="AA75" s="210">
        <v>0.5736654485567827</v>
      </c>
      <c r="AB75" s="211"/>
    </row>
    <row r="76" spans="1:28" x14ac:dyDescent="0.2">
      <c r="A76" s="209" t="s">
        <v>1711</v>
      </c>
      <c r="B76" s="210">
        <v>2.4236053251466414</v>
      </c>
      <c r="C76" s="210">
        <v>2.4031676554253028</v>
      </c>
      <c r="D76" s="210">
        <v>2.4221488033636844</v>
      </c>
      <c r="E76" s="210">
        <v>2.459575328681149</v>
      </c>
      <c r="F76" s="210">
        <v>2.5431868634721755</v>
      </c>
      <c r="G76" s="210">
        <v>2.5241823243035548</v>
      </c>
      <c r="H76" s="210">
        <v>2.558161288597427</v>
      </c>
      <c r="I76" s="210">
        <v>2.5665872831236878</v>
      </c>
      <c r="J76" s="210">
        <v>2.5838053170827573</v>
      </c>
      <c r="K76" s="210">
        <v>2.5575850010857497</v>
      </c>
      <c r="L76" s="210">
        <v>2.6068697662666018</v>
      </c>
      <c r="M76" s="210">
        <v>2.6655643499789119</v>
      </c>
      <c r="N76" s="210">
        <v>2.5709049143720866</v>
      </c>
      <c r="O76" s="210">
        <v>2.5910302833230241</v>
      </c>
      <c r="P76" s="210">
        <v>2.5227860906318691</v>
      </c>
      <c r="Q76" s="210">
        <v>2.4454581642974778</v>
      </c>
      <c r="R76" s="210">
        <v>2.5144564456968346</v>
      </c>
      <c r="S76" s="210">
        <v>2.6221172283114953</v>
      </c>
      <c r="T76" s="210">
        <v>2.7513319157238709</v>
      </c>
      <c r="U76" s="210">
        <v>2.8162655531685514</v>
      </c>
      <c r="V76" s="210">
        <v>2.9157967694068336</v>
      </c>
      <c r="W76" s="210">
        <v>3.1391274640235047</v>
      </c>
      <c r="X76" s="210">
        <v>3.2972920012282327</v>
      </c>
      <c r="Y76" s="210">
        <v>3.3232001556883519</v>
      </c>
      <c r="Z76" s="210">
        <v>3.5341181825915511</v>
      </c>
      <c r="AA76" s="210">
        <v>3.5341181825915511</v>
      </c>
      <c r="AB76" s="211"/>
    </row>
    <row r="77" spans="1:28" x14ac:dyDescent="0.2">
      <c r="A77" s="344" t="s">
        <v>1243</v>
      </c>
      <c r="B77" s="231">
        <v>0.28507154288100961</v>
      </c>
      <c r="C77" s="231">
        <v>0.27495730942793833</v>
      </c>
      <c r="D77" s="231">
        <v>0.27420810694993308</v>
      </c>
      <c r="E77" s="231">
        <v>0.27196049951591728</v>
      </c>
      <c r="F77" s="231">
        <v>0.27158589827691465</v>
      </c>
      <c r="G77" s="231">
        <v>0.25285583632678255</v>
      </c>
      <c r="H77" s="231">
        <v>0.23337657189864527</v>
      </c>
      <c r="I77" s="231">
        <v>0.2303797619866241</v>
      </c>
      <c r="J77" s="231">
        <v>0.20902749136347359</v>
      </c>
      <c r="K77" s="231">
        <v>0.21764331986053431</v>
      </c>
      <c r="L77" s="231">
        <v>0.2191417248165449</v>
      </c>
      <c r="M77" s="231">
        <v>0.21352270623150529</v>
      </c>
      <c r="N77" s="231">
        <v>0.22101473101155811</v>
      </c>
      <c r="O77" s="231">
        <v>0.21502111118751585</v>
      </c>
      <c r="P77" s="231">
        <v>0.21427190870951057</v>
      </c>
      <c r="Q77" s="231">
        <v>0.21202430127549474</v>
      </c>
      <c r="R77" s="231">
        <v>0.21389730747050792</v>
      </c>
      <c r="S77" s="231">
        <v>0.21502111118751585</v>
      </c>
      <c r="T77" s="231">
        <v>0.21614491490452375</v>
      </c>
      <c r="U77" s="231">
        <v>0.21689411738252903</v>
      </c>
      <c r="V77" s="231">
        <v>0.2191417248165449</v>
      </c>
      <c r="W77" s="231">
        <v>0.22700835083560036</v>
      </c>
      <c r="X77" s="231">
        <v>0.22700835083560036</v>
      </c>
      <c r="Y77" s="231">
        <v>0.24349080535171655</v>
      </c>
      <c r="Z77" s="231">
        <v>0.25023362765376411</v>
      </c>
      <c r="AA77" s="231">
        <v>0.25023362765376411</v>
      </c>
      <c r="AB77" s="211"/>
    </row>
    <row r="78" spans="1:28" x14ac:dyDescent="0.2">
      <c r="A78" s="219" t="s">
        <v>1244</v>
      </c>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c r="AA78" s="221"/>
    </row>
    <row r="79" spans="1:28" x14ac:dyDescent="0.2">
      <c r="A79" s="347" t="s">
        <v>1245</v>
      </c>
      <c r="B79" s="348">
        <v>6.3641131793827128</v>
      </c>
      <c r="C79" s="348">
        <v>6.1383167853704483</v>
      </c>
      <c r="D79" s="348">
        <v>6.1215911265547245</v>
      </c>
      <c r="E79" s="348">
        <v>6.0714141501075547</v>
      </c>
      <c r="F79" s="348">
        <v>6.0630513206996932</v>
      </c>
      <c r="G79" s="348">
        <v>5.6449098503066111</v>
      </c>
      <c r="H79" s="348">
        <v>5.210042721097806</v>
      </c>
      <c r="I79" s="348">
        <v>5.1431400858349123</v>
      </c>
      <c r="J79" s="348">
        <v>4.666458809586798</v>
      </c>
      <c r="K79" s="348">
        <v>4.8588038859676166</v>
      </c>
      <c r="L79" s="348">
        <v>4.8922552035990625</v>
      </c>
      <c r="M79" s="348">
        <v>4.7668127624811376</v>
      </c>
      <c r="N79" s="348">
        <v>4.9340693506383708</v>
      </c>
      <c r="O79" s="348">
        <v>4.8002640801125844</v>
      </c>
      <c r="P79" s="348">
        <v>4.7835384212968615</v>
      </c>
      <c r="Q79" s="348">
        <v>4.7333614448496917</v>
      </c>
      <c r="R79" s="348">
        <v>4.775175591889</v>
      </c>
      <c r="S79" s="348">
        <v>4.8002640801125844</v>
      </c>
      <c r="T79" s="348">
        <v>4.8253525683361698</v>
      </c>
      <c r="U79" s="348">
        <v>4.8420782271518927</v>
      </c>
      <c r="V79" s="348">
        <v>4.8922552035990625</v>
      </c>
      <c r="W79" s="348">
        <v>5.0678746211641572</v>
      </c>
      <c r="X79" s="348">
        <v>5.0678746211641572</v>
      </c>
      <c r="Y79" s="348">
        <v>5.4358391151100696</v>
      </c>
      <c r="Z79" s="348">
        <v>5.5863700444515789</v>
      </c>
      <c r="AA79" s="348">
        <v>5.5863700444515789</v>
      </c>
      <c r="AB79" s="211"/>
    </row>
    <row r="80" spans="1:28" ht="12.75" x14ac:dyDescent="0.2">
      <c r="A80" s="175" t="s">
        <v>1712</v>
      </c>
      <c r="B80" s="223"/>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c r="AA80" s="224"/>
      <c r="AB80" s="211"/>
    </row>
    <row r="81" spans="1:28" s="185" customFormat="1" x14ac:dyDescent="0.2">
      <c r="A81" s="349" t="s">
        <v>758</v>
      </c>
      <c r="B81" s="226">
        <v>61.735631949205555</v>
      </c>
      <c r="C81" s="226">
        <v>62.457011029120423</v>
      </c>
      <c r="D81" s="226">
        <v>62.371563655168188</v>
      </c>
      <c r="E81" s="226">
        <v>60.783718200739976</v>
      </c>
      <c r="F81" s="226">
        <v>59.349689654682621</v>
      </c>
      <c r="G81" s="226">
        <v>57.608063151723002</v>
      </c>
      <c r="H81" s="226">
        <v>55.730459302496939</v>
      </c>
      <c r="I81" s="226">
        <v>54.389107258227035</v>
      </c>
      <c r="J81" s="226">
        <v>53.011392029999236</v>
      </c>
      <c r="K81" s="226">
        <v>51.334798356315019</v>
      </c>
      <c r="L81" s="226">
        <v>49.945383958300482</v>
      </c>
      <c r="M81" s="226">
        <v>48.231479905539295</v>
      </c>
      <c r="N81" s="226">
        <v>47.142772205767251</v>
      </c>
      <c r="O81" s="226">
        <v>45.725087100053194</v>
      </c>
      <c r="P81" s="226">
        <v>44.313296058715004</v>
      </c>
      <c r="Q81" s="226">
        <v>42.837123808640229</v>
      </c>
      <c r="R81" s="226">
        <v>41.494981499599305</v>
      </c>
      <c r="S81" s="226">
        <v>40.208301458129526</v>
      </c>
      <c r="T81" s="226">
        <v>39.266474791234067</v>
      </c>
      <c r="U81" s="226">
        <v>38.063339243577964</v>
      </c>
      <c r="V81" s="226">
        <v>36.836262137866001</v>
      </c>
      <c r="W81" s="226">
        <v>35.645829797368137</v>
      </c>
      <c r="X81" s="226">
        <v>35.465980749518977</v>
      </c>
      <c r="Y81" s="226">
        <v>37.292029646507721</v>
      </c>
      <c r="Z81" s="226">
        <v>38.694125467422893</v>
      </c>
      <c r="AA81" s="226">
        <v>38.694125467422893</v>
      </c>
      <c r="AB81" s="227"/>
    </row>
    <row r="82" spans="1:28" x14ac:dyDescent="0.2">
      <c r="A82" s="219" t="s">
        <v>1247</v>
      </c>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c r="AA82" s="221"/>
      <c r="AB82" s="211"/>
    </row>
    <row r="83" spans="1:28" x14ac:dyDescent="0.2">
      <c r="A83" s="217" t="s">
        <v>1185</v>
      </c>
      <c r="B83" s="218">
        <v>9.19887252317515E-2</v>
      </c>
      <c r="C83" s="218">
        <v>9.2599094884141336E-2</v>
      </c>
      <c r="D83" s="218">
        <v>9.1844719588415349E-2</v>
      </c>
      <c r="E83" s="218">
        <v>9.2410343504801387E-2</v>
      </c>
      <c r="F83" s="218">
        <v>9.5020091290600364E-2</v>
      </c>
      <c r="G83" s="218">
        <v>9.3571211754364697E-2</v>
      </c>
      <c r="H83" s="218">
        <v>8.9703226476571599E-2</v>
      </c>
      <c r="I83" s="218">
        <v>9.2759171179140856E-2</v>
      </c>
      <c r="J83" s="218">
        <v>9.5386880281504716E-2</v>
      </c>
      <c r="K83" s="218">
        <v>9.3291393348932508E-2</v>
      </c>
      <c r="L83" s="218">
        <v>9.4204584496390298E-2</v>
      </c>
      <c r="M83" s="218">
        <v>9.1380246244263233E-2</v>
      </c>
      <c r="N83" s="218">
        <v>9.5478262418413895E-2</v>
      </c>
      <c r="O83" s="218">
        <v>9.5003705528120097E-2</v>
      </c>
      <c r="P83" s="218">
        <v>9.5478892640047747E-2</v>
      </c>
      <c r="Q83" s="218">
        <v>9.4680716940768725E-2</v>
      </c>
      <c r="R83" s="218">
        <v>9.4635340983131075E-2</v>
      </c>
      <c r="S83" s="218">
        <v>9.4869153209291762E-2</v>
      </c>
      <c r="T83" s="218">
        <v>9.5535612587094823E-2</v>
      </c>
      <c r="U83" s="218">
        <v>9.5974246844258801E-2</v>
      </c>
      <c r="V83" s="218">
        <v>9.6047352553786144E-2</v>
      </c>
      <c r="W83" s="218">
        <v>9.6127075590468958E-2</v>
      </c>
      <c r="X83" s="218">
        <v>9.5586030317803314E-2</v>
      </c>
      <c r="Y83" s="218">
        <v>9.5408307817055837E-2</v>
      </c>
      <c r="Z83" s="218">
        <v>9.5084058786436776E-2</v>
      </c>
      <c r="AA83" s="218">
        <v>9.5084058786436776E-2</v>
      </c>
      <c r="AB83" s="211"/>
    </row>
    <row r="84" spans="1:28" x14ac:dyDescent="0.2">
      <c r="A84" s="207" t="s">
        <v>1248</v>
      </c>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1"/>
      <c r="AB84" s="211"/>
    </row>
    <row r="85" spans="1:28" x14ac:dyDescent="0.2">
      <c r="A85" s="213" t="s">
        <v>1393</v>
      </c>
      <c r="B85" s="193">
        <v>31.682900657289053</v>
      </c>
      <c r="C85" s="193">
        <v>31.893125127865975</v>
      </c>
      <c r="D85" s="193">
        <v>31.633302008319685</v>
      </c>
      <c r="E85" s="193">
        <v>30.609489601935085</v>
      </c>
      <c r="F85" s="193">
        <v>29.597622765133401</v>
      </c>
      <c r="G85" s="193">
        <v>28.597701497914642</v>
      </c>
      <c r="H85" s="193">
        <v>27.609725800278788</v>
      </c>
      <c r="I85" s="193">
        <v>26.633695672225862</v>
      </c>
      <c r="J85" s="193">
        <v>25.669611113755845</v>
      </c>
      <c r="K85" s="193">
        <v>24.717472124868749</v>
      </c>
      <c r="L85" s="193">
        <v>23.777278705564569</v>
      </c>
      <c r="M85" s="193">
        <v>22.84903085584331</v>
      </c>
      <c r="N85" s="193">
        <v>21.932728575704964</v>
      </c>
      <c r="O85" s="193">
        <v>21.028371865149541</v>
      </c>
      <c r="P85" s="193">
        <v>20.135960724177028</v>
      </c>
      <c r="Q85" s="193">
        <v>19.255495152787436</v>
      </c>
      <c r="R85" s="193">
        <v>18.38697515098076</v>
      </c>
      <c r="S85" s="193">
        <v>17.530400718757001</v>
      </c>
      <c r="T85" s="193">
        <v>16.685771856116165</v>
      </c>
      <c r="U85" s="193">
        <v>15.85308856305824</v>
      </c>
      <c r="V85" s="193">
        <v>15.032350839583236</v>
      </c>
      <c r="W85" s="193">
        <v>14.223558685691161</v>
      </c>
      <c r="X85" s="193">
        <v>14.306904380899812</v>
      </c>
      <c r="Y85" s="193">
        <v>15.461535094059222</v>
      </c>
      <c r="Z85" s="193">
        <v>16.533732303600729</v>
      </c>
      <c r="AA85" s="193">
        <v>16.533732303600729</v>
      </c>
      <c r="AB85" s="211"/>
    </row>
    <row r="86" spans="1:28" ht="24" x14ac:dyDescent="0.2">
      <c r="A86" s="212" t="s">
        <v>1250</v>
      </c>
      <c r="B86" s="196" t="s">
        <v>1234</v>
      </c>
      <c r="C86" s="196" t="s">
        <v>1234</v>
      </c>
      <c r="D86" s="196" t="s">
        <v>1234</v>
      </c>
      <c r="E86" s="196" t="s">
        <v>1234</v>
      </c>
      <c r="F86" s="196" t="s">
        <v>1234</v>
      </c>
      <c r="G86" s="196" t="s">
        <v>1234</v>
      </c>
      <c r="H86" s="196" t="s">
        <v>1234</v>
      </c>
      <c r="I86" s="196" t="s">
        <v>1234</v>
      </c>
      <c r="J86" s="196" t="s">
        <v>1234</v>
      </c>
      <c r="K86" s="196" t="s">
        <v>1234</v>
      </c>
      <c r="L86" s="196" t="s">
        <v>1234</v>
      </c>
      <c r="M86" s="196" t="s">
        <v>1234</v>
      </c>
      <c r="N86" s="196" t="s">
        <v>1234</v>
      </c>
      <c r="O86" s="196" t="s">
        <v>1234</v>
      </c>
      <c r="P86" s="196" t="s">
        <v>1234</v>
      </c>
      <c r="Q86" s="196" t="s">
        <v>1234</v>
      </c>
      <c r="R86" s="196" t="s">
        <v>1234</v>
      </c>
      <c r="S86" s="196" t="s">
        <v>1234</v>
      </c>
      <c r="T86" s="196" t="s">
        <v>1234</v>
      </c>
      <c r="U86" s="196" t="s">
        <v>1234</v>
      </c>
      <c r="V86" s="196" t="s">
        <v>1234</v>
      </c>
      <c r="W86" s="196">
        <v>2.7358056679585783</v>
      </c>
      <c r="X86" s="196">
        <v>2.9297962069816612</v>
      </c>
      <c r="Y86" s="196">
        <v>3.164696817804816</v>
      </c>
      <c r="Z86" s="196">
        <v>3.3856407434831812</v>
      </c>
      <c r="AA86" s="196">
        <v>3.3856407434831812</v>
      </c>
      <c r="AB86" s="211"/>
    </row>
    <row r="87" spans="1:28" x14ac:dyDescent="0.2">
      <c r="A87" s="212" t="s">
        <v>1713</v>
      </c>
      <c r="B87" s="196" t="s">
        <v>1234</v>
      </c>
      <c r="C87" s="196" t="s">
        <v>1234</v>
      </c>
      <c r="D87" s="196" t="s">
        <v>1234</v>
      </c>
      <c r="E87" s="196" t="s">
        <v>1234</v>
      </c>
      <c r="F87" s="196" t="s">
        <v>1234</v>
      </c>
      <c r="G87" s="196" t="s">
        <v>1234</v>
      </c>
      <c r="H87" s="196" t="s">
        <v>1234</v>
      </c>
      <c r="I87" s="196" t="s">
        <v>1234</v>
      </c>
      <c r="J87" s="196" t="s">
        <v>1234</v>
      </c>
      <c r="K87" s="196" t="s">
        <v>1234</v>
      </c>
      <c r="L87" s="196" t="s">
        <v>1234</v>
      </c>
      <c r="M87" s="196" t="s">
        <v>1234</v>
      </c>
      <c r="N87" s="196" t="s">
        <v>1234</v>
      </c>
      <c r="O87" s="196" t="s">
        <v>1234</v>
      </c>
      <c r="P87" s="196" t="s">
        <v>1234</v>
      </c>
      <c r="Q87" s="196" t="s">
        <v>1234</v>
      </c>
      <c r="R87" s="196" t="s">
        <v>1234</v>
      </c>
      <c r="S87" s="196" t="s">
        <v>1234</v>
      </c>
      <c r="T87" s="196" t="s">
        <v>1234</v>
      </c>
      <c r="U87" s="196" t="s">
        <v>1234</v>
      </c>
      <c r="V87" s="196" t="s">
        <v>1234</v>
      </c>
      <c r="W87" s="196">
        <v>8.6996902918284071</v>
      </c>
      <c r="X87" s="196">
        <v>8.4711055854629862</v>
      </c>
      <c r="Y87" s="196">
        <v>9.1502886192968305</v>
      </c>
      <c r="Z87" s="196">
        <v>9.7891178042169376</v>
      </c>
      <c r="AA87" s="196">
        <v>9.7891178042169376</v>
      </c>
      <c r="AB87" s="211"/>
    </row>
    <row r="88" spans="1:28" ht="12" customHeight="1" x14ac:dyDescent="0.2">
      <c r="A88" s="212" t="s">
        <v>1252</v>
      </c>
      <c r="B88" s="196" t="s">
        <v>1234</v>
      </c>
      <c r="C88" s="196" t="s">
        <v>1234</v>
      </c>
      <c r="D88" s="196" t="s">
        <v>1234</v>
      </c>
      <c r="E88" s="196" t="s">
        <v>1234</v>
      </c>
      <c r="F88" s="196" t="s">
        <v>1234</v>
      </c>
      <c r="G88" s="196" t="s">
        <v>1234</v>
      </c>
      <c r="H88" s="196" t="s">
        <v>1234</v>
      </c>
      <c r="I88" s="196" t="s">
        <v>1234</v>
      </c>
      <c r="J88" s="196" t="s">
        <v>1234</v>
      </c>
      <c r="K88" s="196" t="s">
        <v>1234</v>
      </c>
      <c r="L88" s="196" t="s">
        <v>1234</v>
      </c>
      <c r="M88" s="196" t="s">
        <v>1234</v>
      </c>
      <c r="N88" s="196" t="s">
        <v>1234</v>
      </c>
      <c r="O88" s="196" t="s">
        <v>1234</v>
      </c>
      <c r="P88" s="196" t="s">
        <v>1234</v>
      </c>
      <c r="Q88" s="196" t="s">
        <v>1234</v>
      </c>
      <c r="R88" s="196" t="s">
        <v>1234</v>
      </c>
      <c r="S88" s="196" t="s">
        <v>1234</v>
      </c>
      <c r="T88" s="196" t="s">
        <v>1234</v>
      </c>
      <c r="U88" s="196" t="s">
        <v>1234</v>
      </c>
      <c r="V88" s="196" t="s">
        <v>1234</v>
      </c>
      <c r="W88" s="196">
        <v>1.3514438467722889</v>
      </c>
      <c r="X88" s="196">
        <v>1.4730200247875751</v>
      </c>
      <c r="Y88" s="196">
        <v>1.612524928149778</v>
      </c>
      <c r="Z88" s="196">
        <v>1.7045538462779217</v>
      </c>
      <c r="AA88" s="196">
        <v>1.7045538462779217</v>
      </c>
      <c r="AB88" s="211"/>
    </row>
    <row r="89" spans="1:28" ht="12" customHeight="1" x14ac:dyDescent="0.2">
      <c r="A89" s="206" t="s">
        <v>1253</v>
      </c>
      <c r="B89" s="195" t="s">
        <v>1234</v>
      </c>
      <c r="C89" s="195" t="s">
        <v>1234</v>
      </c>
      <c r="D89" s="195" t="s">
        <v>1234</v>
      </c>
      <c r="E89" s="195" t="s">
        <v>1234</v>
      </c>
      <c r="F89" s="195" t="s">
        <v>1234</v>
      </c>
      <c r="G89" s="195" t="s">
        <v>1234</v>
      </c>
      <c r="H89" s="195" t="s">
        <v>1234</v>
      </c>
      <c r="I89" s="195" t="s">
        <v>1234</v>
      </c>
      <c r="J89" s="195" t="s">
        <v>1234</v>
      </c>
      <c r="K89" s="195" t="s">
        <v>1234</v>
      </c>
      <c r="L89" s="195" t="s">
        <v>1234</v>
      </c>
      <c r="M89" s="195" t="s">
        <v>1234</v>
      </c>
      <c r="N89" s="195" t="s">
        <v>1234</v>
      </c>
      <c r="O89" s="195" t="s">
        <v>1234</v>
      </c>
      <c r="P89" s="195" t="s">
        <v>1234</v>
      </c>
      <c r="Q89" s="195" t="s">
        <v>1234</v>
      </c>
      <c r="R89" s="195" t="s">
        <v>1234</v>
      </c>
      <c r="S89" s="195" t="s">
        <v>1234</v>
      </c>
      <c r="T89" s="195" t="s">
        <v>1234</v>
      </c>
      <c r="U89" s="195" t="s">
        <v>1234</v>
      </c>
      <c r="V89" s="195" t="s">
        <v>1234</v>
      </c>
      <c r="W89" s="195">
        <v>1.436618879131887</v>
      </c>
      <c r="X89" s="195">
        <v>1.4329825636675879</v>
      </c>
      <c r="Y89" s="195">
        <v>1.5340247288078008</v>
      </c>
      <c r="Z89" s="195">
        <v>1.6544199096226886</v>
      </c>
      <c r="AA89" s="195">
        <v>1.6544199096226886</v>
      </c>
      <c r="AB89" s="211"/>
    </row>
    <row r="90" spans="1:28" x14ac:dyDescent="0.2">
      <c r="A90" s="207" t="s">
        <v>1254</v>
      </c>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1"/>
      <c r="AB90" s="211"/>
    </row>
    <row r="91" spans="1:28" x14ac:dyDescent="0.2">
      <c r="A91" s="213" t="s">
        <v>1393</v>
      </c>
      <c r="B91" s="193">
        <v>7.0843265942048017</v>
      </c>
      <c r="C91" s="193">
        <v>7.3494408993343372</v>
      </c>
      <c r="D91" s="193">
        <v>7.5662720874271967</v>
      </c>
      <c r="E91" s="193">
        <v>7.3299579610369934</v>
      </c>
      <c r="F91" s="193">
        <v>7.0966232106338705</v>
      </c>
      <c r="G91" s="193">
        <v>6.8662678362178244</v>
      </c>
      <c r="H91" s="193">
        <v>6.6388918377888571</v>
      </c>
      <c r="I91" s="193">
        <v>6.4144952153469692</v>
      </c>
      <c r="J91" s="193">
        <v>6.1930779688921573</v>
      </c>
      <c r="K91" s="193">
        <v>5.974640098424425</v>
      </c>
      <c r="L91" s="193">
        <v>5.7591816039437713</v>
      </c>
      <c r="M91" s="193">
        <v>5.5467024854501954</v>
      </c>
      <c r="N91" s="193">
        <v>5.3372027429436972</v>
      </c>
      <c r="O91" s="193">
        <v>5.1306823764242768</v>
      </c>
      <c r="P91" s="193">
        <v>4.927141385891936</v>
      </c>
      <c r="Q91" s="193">
        <v>4.7265797713466764</v>
      </c>
      <c r="R91" s="193">
        <v>4.6091438789174539</v>
      </c>
      <c r="S91" s="193">
        <v>4.4204325656802306</v>
      </c>
      <c r="T91" s="193">
        <v>4.3560313568801918</v>
      </c>
      <c r="U91" s="193">
        <v>4.210463459338782</v>
      </c>
      <c r="V91" s="193">
        <v>4.0641003742501871</v>
      </c>
      <c r="W91" s="193">
        <v>3.9367246374811464</v>
      </c>
      <c r="X91" s="193">
        <v>3.7784823155912224</v>
      </c>
      <c r="Y91" s="193">
        <v>3.7974696639107757</v>
      </c>
      <c r="Z91" s="193">
        <v>3.7974696639107757</v>
      </c>
      <c r="AA91" s="193">
        <v>3.7974696639107757</v>
      </c>
      <c r="AB91" s="211"/>
    </row>
    <row r="92" spans="1:28" ht="24" x14ac:dyDescent="0.2">
      <c r="A92" s="212" t="s">
        <v>1250</v>
      </c>
      <c r="B92" s="196" t="s">
        <v>1234</v>
      </c>
      <c r="C92" s="196" t="s">
        <v>1234</v>
      </c>
      <c r="D92" s="196" t="s">
        <v>1234</v>
      </c>
      <c r="E92" s="196" t="s">
        <v>1234</v>
      </c>
      <c r="F92" s="196" t="s">
        <v>1234</v>
      </c>
      <c r="G92" s="196" t="s">
        <v>1234</v>
      </c>
      <c r="H92" s="196" t="s">
        <v>1234</v>
      </c>
      <c r="I92" s="196" t="s">
        <v>1234</v>
      </c>
      <c r="J92" s="196" t="s">
        <v>1234</v>
      </c>
      <c r="K92" s="196" t="s">
        <v>1234</v>
      </c>
      <c r="L92" s="196" t="s">
        <v>1234</v>
      </c>
      <c r="M92" s="196" t="s">
        <v>1234</v>
      </c>
      <c r="N92" s="196" t="s">
        <v>1234</v>
      </c>
      <c r="O92" s="196" t="s">
        <v>1234</v>
      </c>
      <c r="P92" s="196" t="s">
        <v>1234</v>
      </c>
      <c r="Q92" s="196" t="s">
        <v>1234</v>
      </c>
      <c r="R92" s="196" t="s">
        <v>1234</v>
      </c>
      <c r="S92" s="196" t="s">
        <v>1234</v>
      </c>
      <c r="T92" s="196" t="s">
        <v>1234</v>
      </c>
      <c r="U92" s="196" t="s">
        <v>1234</v>
      </c>
      <c r="V92" s="196" t="s">
        <v>1234</v>
      </c>
      <c r="W92" s="196" t="s">
        <v>1234</v>
      </c>
      <c r="X92" s="196">
        <v>0.72545744016846003</v>
      </c>
      <c r="Y92" s="196">
        <v>0.72910295494317601</v>
      </c>
      <c r="Z92" s="196">
        <v>0.72910295494317601</v>
      </c>
      <c r="AA92" s="196">
        <v>0.72910295494317601</v>
      </c>
    </row>
    <row r="93" spans="1:28" x14ac:dyDescent="0.2">
      <c r="A93" s="212" t="s">
        <v>1713</v>
      </c>
      <c r="B93" s="196" t="s">
        <v>1234</v>
      </c>
      <c r="C93" s="196" t="s">
        <v>1234</v>
      </c>
      <c r="D93" s="196" t="s">
        <v>1234</v>
      </c>
      <c r="E93" s="196" t="s">
        <v>1234</v>
      </c>
      <c r="F93" s="196" t="s">
        <v>1234</v>
      </c>
      <c r="G93" s="196" t="s">
        <v>1234</v>
      </c>
      <c r="H93" s="196" t="s">
        <v>1234</v>
      </c>
      <c r="I93" s="196" t="s">
        <v>1234</v>
      </c>
      <c r="J93" s="196" t="s">
        <v>1234</v>
      </c>
      <c r="K93" s="196" t="s">
        <v>1234</v>
      </c>
      <c r="L93" s="196" t="s">
        <v>1234</v>
      </c>
      <c r="M93" s="196" t="s">
        <v>1234</v>
      </c>
      <c r="N93" s="196" t="s">
        <v>1234</v>
      </c>
      <c r="O93" s="196" t="s">
        <v>1234</v>
      </c>
      <c r="P93" s="196" t="s">
        <v>1234</v>
      </c>
      <c r="Q93" s="196" t="s">
        <v>1234</v>
      </c>
      <c r="R93" s="196" t="s">
        <v>1234</v>
      </c>
      <c r="S93" s="196" t="s">
        <v>1234</v>
      </c>
      <c r="T93" s="196" t="s">
        <v>1234</v>
      </c>
      <c r="U93" s="196" t="s">
        <v>1234</v>
      </c>
      <c r="V93" s="196" t="s">
        <v>1234</v>
      </c>
      <c r="W93" s="196" t="s">
        <v>1234</v>
      </c>
      <c r="X93" s="196">
        <v>3.053024875422762</v>
      </c>
      <c r="Y93" s="196">
        <v>3.0683667089675999</v>
      </c>
      <c r="Z93" s="196">
        <v>3.0683667089675999</v>
      </c>
      <c r="AA93" s="196">
        <v>3.0683667089675999</v>
      </c>
    </row>
    <row r="94" spans="1:28" x14ac:dyDescent="0.2">
      <c r="A94" s="212" t="s">
        <v>1255</v>
      </c>
      <c r="B94" s="196">
        <v>0.39129125525992614</v>
      </c>
      <c r="C94" s="196">
        <v>0.40593441263868929</v>
      </c>
      <c r="D94" s="196">
        <v>0.41791073059073874</v>
      </c>
      <c r="E94" s="196">
        <v>0.44164666184430573</v>
      </c>
      <c r="F94" s="196">
        <v>0.43195705912523286</v>
      </c>
      <c r="G94" s="196">
        <v>0.4321901591934037</v>
      </c>
      <c r="H94" s="196">
        <v>0.46703897580705739</v>
      </c>
      <c r="I94" s="196">
        <v>0.44408164868027783</v>
      </c>
      <c r="J94" s="196">
        <v>0.40278159164783051</v>
      </c>
      <c r="K94" s="196">
        <v>0.42108351122046234</v>
      </c>
      <c r="L94" s="196">
        <v>0.44518718099900673</v>
      </c>
      <c r="M94" s="196">
        <v>0.42515278259401862</v>
      </c>
      <c r="N94" s="196">
        <v>0.43562072212328706</v>
      </c>
      <c r="O94" s="196">
        <v>0.45259826619392263</v>
      </c>
      <c r="P94" s="196">
        <v>0.43383674029421704</v>
      </c>
      <c r="Q94" s="196">
        <v>0.43009234768539728</v>
      </c>
      <c r="R94" s="196">
        <v>0.38925448104041255</v>
      </c>
      <c r="S94" s="196">
        <v>0.42075631571192912</v>
      </c>
      <c r="T94" s="196">
        <v>0.43590425592180365</v>
      </c>
      <c r="U94" s="196">
        <v>0.42583533095876935</v>
      </c>
      <c r="V94" s="196">
        <v>0.42610264755070837</v>
      </c>
      <c r="W94" s="196">
        <v>0.42004347146675852</v>
      </c>
      <c r="X94" s="196">
        <v>0.36978795218223331</v>
      </c>
      <c r="Y94" s="196">
        <v>0.43634978357503534</v>
      </c>
      <c r="Z94" s="196">
        <v>0.4532798343978362</v>
      </c>
      <c r="AA94" s="196">
        <v>0.4532798343978362</v>
      </c>
    </row>
    <row r="95" spans="1:28" x14ac:dyDescent="0.2">
      <c r="A95" s="212" t="s">
        <v>1256</v>
      </c>
      <c r="B95" s="196">
        <v>2.0994158975776296</v>
      </c>
      <c r="C95" s="196">
        <v>2.1133460803081521</v>
      </c>
      <c r="D95" s="196">
        <v>2.0961293237480736</v>
      </c>
      <c r="E95" s="196">
        <v>2.1090382953543143</v>
      </c>
      <c r="F95" s="196">
        <v>2.1685993554339169</v>
      </c>
      <c r="G95" s="196">
        <v>2.1355322515645603</v>
      </c>
      <c r="H95" s="196">
        <v>2.0472550223352535</v>
      </c>
      <c r="I95" s="196">
        <v>2.1169994271471326</v>
      </c>
      <c r="J95" s="196">
        <v>2.1769704100019749</v>
      </c>
      <c r="K95" s="196">
        <v>2.1291460862239799</v>
      </c>
      <c r="L95" s="196">
        <v>2.149987423112496</v>
      </c>
      <c r="M95" s="196">
        <v>2.0855288646129213</v>
      </c>
      <c r="N95" s="196">
        <v>2.1790559820163535</v>
      </c>
      <c r="O95" s="196">
        <v>2.1682253907968558</v>
      </c>
      <c r="P95" s="196">
        <v>2.1790703652716257</v>
      </c>
      <c r="Q95" s="196">
        <v>2.1608539724701723</v>
      </c>
      <c r="R95" s="196">
        <v>2.1598183780906188</v>
      </c>
      <c r="S95" s="196">
        <v>2.1651545657963744</v>
      </c>
      <c r="T95" s="196">
        <v>2.1803648582460675</v>
      </c>
      <c r="U95" s="196">
        <v>2.1903756039150855</v>
      </c>
      <c r="V95" s="196">
        <v>2.1920440615265884</v>
      </c>
      <c r="W95" s="196">
        <v>2.1938635433184426</v>
      </c>
      <c r="X95" s="196">
        <v>2.1815155186677933</v>
      </c>
      <c r="Y95" s="196">
        <v>2.1774594406812087</v>
      </c>
      <c r="Z95" s="196">
        <v>2.1700592558439822</v>
      </c>
      <c r="AA95" s="196">
        <v>2.1700592558439822</v>
      </c>
    </row>
    <row r="96" spans="1:28" x14ac:dyDescent="0.2">
      <c r="A96" s="206" t="s">
        <v>1257</v>
      </c>
      <c r="B96" s="195">
        <v>0.48749861874449207</v>
      </c>
      <c r="C96" s="195">
        <v>0.49073330170932233</v>
      </c>
      <c r="D96" s="195">
        <v>0.48673545399749796</v>
      </c>
      <c r="E96" s="195">
        <v>0.48973300480899523</v>
      </c>
      <c r="F96" s="195">
        <v>0.50356348716042776</v>
      </c>
      <c r="G96" s="195">
        <v>0.49588508123771746</v>
      </c>
      <c r="H96" s="195">
        <v>0.47538650953235256</v>
      </c>
      <c r="I96" s="195">
        <v>0.49158163363814722</v>
      </c>
      <c r="J96" s="195">
        <v>0.50550730283986101</v>
      </c>
      <c r="K96" s="195">
        <v>0.49440217030701578</v>
      </c>
      <c r="L96" s="195">
        <v>0.4992416701686978</v>
      </c>
      <c r="M96" s="195">
        <v>0.48427395544811247</v>
      </c>
      <c r="N96" s="195">
        <v>0.50599158681497758</v>
      </c>
      <c r="O96" s="195">
        <v>0.503476650033855</v>
      </c>
      <c r="P96" s="195">
        <v>0.50599492670446122</v>
      </c>
      <c r="Q96" s="195">
        <v>0.50176495667352916</v>
      </c>
      <c r="R96" s="195">
        <v>0.50152448463071275</v>
      </c>
      <c r="S96" s="195">
        <v>0.50276358362911444</v>
      </c>
      <c r="T96" s="195">
        <v>0.50629551675798179</v>
      </c>
      <c r="U96" s="195">
        <v>0.50862007983854129</v>
      </c>
      <c r="V96" s="195">
        <v>0.50900750701863462</v>
      </c>
      <c r="W96" s="195">
        <v>0.50943000303830521</v>
      </c>
      <c r="X96" s="195">
        <v>0.5065627079166668</v>
      </c>
      <c r="Y96" s="195">
        <v>0.50562085908230214</v>
      </c>
      <c r="Z96" s="195">
        <v>0.50390248594300935</v>
      </c>
      <c r="AA96" s="195">
        <v>0.50390248594300935</v>
      </c>
    </row>
    <row r="97" spans="1:27" x14ac:dyDescent="0.2">
      <c r="A97" s="186" t="s">
        <v>1186</v>
      </c>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c r="AA97" s="188"/>
    </row>
    <row r="98" spans="1:27" x14ac:dyDescent="0.2">
      <c r="A98" s="207" t="s">
        <v>1258</v>
      </c>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1"/>
    </row>
    <row r="99" spans="1:27" x14ac:dyDescent="0.2">
      <c r="A99" s="213" t="s">
        <v>1259</v>
      </c>
      <c r="B99" s="193">
        <v>5.7514457000655279E-2</v>
      </c>
      <c r="C99" s="193">
        <v>5.7896080716370847E-2</v>
      </c>
      <c r="D99" s="193">
        <v>5.7424419810112155E-2</v>
      </c>
      <c r="E99" s="193">
        <v>5.6990752695440593E-2</v>
      </c>
      <c r="F99" s="193">
        <v>5.6557085580769023E-2</v>
      </c>
      <c r="G99" s="193">
        <v>5.6123418466097447E-2</v>
      </c>
      <c r="H99" s="193">
        <v>5.5689751351425884E-2</v>
      </c>
      <c r="I99" s="193">
        <v>5.5256084236754315E-2</v>
      </c>
      <c r="J99" s="193">
        <v>5.4822417122082745E-2</v>
      </c>
      <c r="K99" s="193">
        <v>5.4388750007411168E-2</v>
      </c>
      <c r="L99" s="193">
        <v>5.3955082892739599E-2</v>
      </c>
      <c r="M99" s="193">
        <v>5.3521415778068029E-2</v>
      </c>
      <c r="N99" s="193">
        <v>5.308774866339646E-2</v>
      </c>
      <c r="O99" s="193">
        <v>5.265408154872489E-2</v>
      </c>
      <c r="P99" s="193">
        <v>5.2220414434053321E-2</v>
      </c>
      <c r="Q99" s="193">
        <v>5.1786747319381751E-2</v>
      </c>
      <c r="R99" s="193">
        <v>5.1353080204710189E-2</v>
      </c>
      <c r="S99" s="193">
        <v>5.0919413090038612E-2</v>
      </c>
      <c r="T99" s="193">
        <v>5.0485745975367029E-2</v>
      </c>
      <c r="U99" s="193">
        <v>5.0052078860695466E-2</v>
      </c>
      <c r="V99" s="342">
        <v>4.961841174602391E-2</v>
      </c>
      <c r="W99" s="342">
        <v>4.9184744631352362E-2</v>
      </c>
      <c r="X99" s="193">
        <v>5.2672337055951875E-2</v>
      </c>
      <c r="Y99" s="193">
        <v>5.6895417186386216E-2</v>
      </c>
      <c r="Z99" s="193">
        <v>6.0867581835949119E-2</v>
      </c>
      <c r="AA99" s="193">
        <v>6.0867581835949119E-2</v>
      </c>
    </row>
    <row r="100" spans="1:27" x14ac:dyDescent="0.2">
      <c r="A100" s="206" t="s">
        <v>1260</v>
      </c>
      <c r="B100" s="195">
        <v>0.12190938032849449</v>
      </c>
      <c r="C100" s="195">
        <v>0.12647155292525189</v>
      </c>
      <c r="D100" s="195">
        <v>0.13020285404820062</v>
      </c>
      <c r="E100" s="195">
        <v>0.13759794052597002</v>
      </c>
      <c r="F100" s="195">
        <v>0.13457908066842789</v>
      </c>
      <c r="G100" s="195">
        <v>0.13465170453743397</v>
      </c>
      <c r="H100" s="195">
        <v>0.14550908399951715</v>
      </c>
      <c r="I100" s="195">
        <v>0.13835657679062205</v>
      </c>
      <c r="J100" s="195">
        <v>0.12548927067867591</v>
      </c>
      <c r="K100" s="195">
        <v>0.13119135485236738</v>
      </c>
      <c r="L100" s="195">
        <v>0.13870101270146257</v>
      </c>
      <c r="M100" s="195">
        <v>0.13245916328117874</v>
      </c>
      <c r="N100" s="195">
        <v>0.13572051912334179</v>
      </c>
      <c r="O100" s="195">
        <v>0.14100998534403722</v>
      </c>
      <c r="P100" s="195">
        <v>0.13516470777725192</v>
      </c>
      <c r="Q100" s="195">
        <v>0.13399811747779691</v>
      </c>
      <c r="R100" s="195">
        <v>0.12127480984006123</v>
      </c>
      <c r="S100" s="195">
        <v>0.13108941492614781</v>
      </c>
      <c r="T100" s="195">
        <v>0.13580885595483166</v>
      </c>
      <c r="U100" s="195">
        <v>0.13267181574164766</v>
      </c>
      <c r="V100" s="195">
        <v>0.13275509999509505</v>
      </c>
      <c r="W100" s="195">
        <v>0.13086732358362152</v>
      </c>
      <c r="X100" s="195">
        <v>0.11520988393551745</v>
      </c>
      <c r="Y100" s="195">
        <v>0.13594766304391062</v>
      </c>
      <c r="Z100" s="195">
        <v>0.14122233242891016</v>
      </c>
      <c r="AA100" s="195">
        <v>0.14122233242891016</v>
      </c>
    </row>
    <row r="101" spans="1:27" x14ac:dyDescent="0.2">
      <c r="A101" s="207" t="s">
        <v>1239</v>
      </c>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1"/>
    </row>
    <row r="102" spans="1:27" x14ac:dyDescent="0.2">
      <c r="A102" s="213" t="s">
        <v>1261</v>
      </c>
      <c r="B102" s="193" t="s">
        <v>1234</v>
      </c>
      <c r="C102" s="193" t="s">
        <v>1234</v>
      </c>
      <c r="D102" s="193" t="s">
        <v>1234</v>
      </c>
      <c r="E102" s="193" t="s">
        <v>1234</v>
      </c>
      <c r="F102" s="193" t="s">
        <v>1234</v>
      </c>
      <c r="G102" s="193" t="s">
        <v>1234</v>
      </c>
      <c r="H102" s="193" t="s">
        <v>1234</v>
      </c>
      <c r="I102" s="193" t="s">
        <v>1234</v>
      </c>
      <c r="J102" s="193" t="s">
        <v>1234</v>
      </c>
      <c r="K102" s="193" t="s">
        <v>1234</v>
      </c>
      <c r="L102" s="193" t="s">
        <v>1234</v>
      </c>
      <c r="M102" s="193" t="s">
        <v>1234</v>
      </c>
      <c r="N102" s="193" t="s">
        <v>1234</v>
      </c>
      <c r="O102" s="193" t="s">
        <v>1234</v>
      </c>
      <c r="P102" s="193" t="s">
        <v>1234</v>
      </c>
      <c r="Q102" s="193" t="s">
        <v>1234</v>
      </c>
      <c r="R102" s="193" t="s">
        <v>1234</v>
      </c>
      <c r="S102" s="193" t="s">
        <v>1234</v>
      </c>
      <c r="T102" s="193" t="s">
        <v>1234</v>
      </c>
      <c r="U102" s="193" t="s">
        <v>1234</v>
      </c>
      <c r="V102" s="193" t="s">
        <v>1234</v>
      </c>
      <c r="W102" s="193" t="s">
        <v>1234</v>
      </c>
      <c r="X102" s="193" t="s">
        <v>1234</v>
      </c>
      <c r="Y102" s="193" t="s">
        <v>1234</v>
      </c>
      <c r="Z102" s="193" t="s">
        <v>1234</v>
      </c>
      <c r="AA102" s="193" t="s">
        <v>1234</v>
      </c>
    </row>
    <row r="103" spans="1:27" x14ac:dyDescent="0.2">
      <c r="A103" s="212" t="s">
        <v>1262</v>
      </c>
      <c r="B103" s="196" t="s">
        <v>1234</v>
      </c>
      <c r="C103" s="196" t="s">
        <v>1234</v>
      </c>
      <c r="D103" s="196" t="s">
        <v>1234</v>
      </c>
      <c r="E103" s="196" t="s">
        <v>1234</v>
      </c>
      <c r="F103" s="196" t="s">
        <v>1234</v>
      </c>
      <c r="G103" s="196" t="s">
        <v>1234</v>
      </c>
      <c r="H103" s="196" t="s">
        <v>1234</v>
      </c>
      <c r="I103" s="196" t="s">
        <v>1234</v>
      </c>
      <c r="J103" s="196" t="s">
        <v>1234</v>
      </c>
      <c r="K103" s="196" t="s">
        <v>1234</v>
      </c>
      <c r="L103" s="196" t="s">
        <v>1234</v>
      </c>
      <c r="M103" s="196" t="s">
        <v>1234</v>
      </c>
      <c r="N103" s="196" t="s">
        <v>1234</v>
      </c>
      <c r="O103" s="196" t="s">
        <v>1234</v>
      </c>
      <c r="P103" s="196" t="s">
        <v>1234</v>
      </c>
      <c r="Q103" s="196" t="s">
        <v>1234</v>
      </c>
      <c r="R103" s="196" t="s">
        <v>1234</v>
      </c>
      <c r="S103" s="196" t="s">
        <v>1234</v>
      </c>
      <c r="T103" s="196" t="s">
        <v>1234</v>
      </c>
      <c r="U103" s="196" t="s">
        <v>1234</v>
      </c>
      <c r="V103" s="196" t="s">
        <v>1234</v>
      </c>
      <c r="W103" s="196" t="s">
        <v>1234</v>
      </c>
      <c r="X103" s="196" t="s">
        <v>1234</v>
      </c>
      <c r="Y103" s="196" t="s">
        <v>1234</v>
      </c>
      <c r="Z103" s="196" t="s">
        <v>1234</v>
      </c>
      <c r="AA103" s="196" t="s">
        <v>1234</v>
      </c>
    </row>
    <row r="104" spans="1:27" x14ac:dyDescent="0.2">
      <c r="A104" s="212" t="s">
        <v>1263</v>
      </c>
      <c r="B104" s="196" t="s">
        <v>1234</v>
      </c>
      <c r="C104" s="196" t="s">
        <v>1234</v>
      </c>
      <c r="D104" s="196" t="s">
        <v>1234</v>
      </c>
      <c r="E104" s="196" t="s">
        <v>1234</v>
      </c>
      <c r="F104" s="196" t="s">
        <v>1234</v>
      </c>
      <c r="G104" s="196" t="s">
        <v>1234</v>
      </c>
      <c r="H104" s="196" t="s">
        <v>1234</v>
      </c>
      <c r="I104" s="196" t="s">
        <v>1234</v>
      </c>
      <c r="J104" s="196" t="s">
        <v>1234</v>
      </c>
      <c r="K104" s="196" t="s">
        <v>1234</v>
      </c>
      <c r="L104" s="196" t="s">
        <v>1234</v>
      </c>
      <c r="M104" s="196" t="s">
        <v>1234</v>
      </c>
      <c r="N104" s="196" t="s">
        <v>1234</v>
      </c>
      <c r="O104" s="196" t="s">
        <v>1234</v>
      </c>
      <c r="P104" s="196" t="s">
        <v>1234</v>
      </c>
      <c r="Q104" s="196" t="s">
        <v>1234</v>
      </c>
      <c r="R104" s="196" t="s">
        <v>1234</v>
      </c>
      <c r="S104" s="196" t="s">
        <v>1234</v>
      </c>
      <c r="T104" s="196" t="s">
        <v>1234</v>
      </c>
      <c r="U104" s="196" t="s">
        <v>1234</v>
      </c>
      <c r="V104" s="196" t="s">
        <v>1234</v>
      </c>
      <c r="W104" s="196" t="s">
        <v>1234</v>
      </c>
      <c r="X104" s="196" t="s">
        <v>1234</v>
      </c>
      <c r="Y104" s="196" t="s">
        <v>1234</v>
      </c>
      <c r="Z104" s="196" t="s">
        <v>1234</v>
      </c>
      <c r="AA104" s="196" t="s">
        <v>1234</v>
      </c>
    </row>
    <row r="105" spans="1:27" x14ac:dyDescent="0.2">
      <c r="A105" s="212" t="s">
        <v>1264</v>
      </c>
      <c r="B105" s="196" t="s">
        <v>1234</v>
      </c>
      <c r="C105" s="196" t="s">
        <v>1234</v>
      </c>
      <c r="D105" s="196" t="s">
        <v>1234</v>
      </c>
      <c r="E105" s="196" t="s">
        <v>1234</v>
      </c>
      <c r="F105" s="196" t="s">
        <v>1234</v>
      </c>
      <c r="G105" s="196" t="s">
        <v>1234</v>
      </c>
      <c r="H105" s="196" t="s">
        <v>1234</v>
      </c>
      <c r="I105" s="196" t="s">
        <v>1234</v>
      </c>
      <c r="J105" s="196" t="s">
        <v>1234</v>
      </c>
      <c r="K105" s="196" t="s">
        <v>1234</v>
      </c>
      <c r="L105" s="196" t="s">
        <v>1234</v>
      </c>
      <c r="M105" s="196" t="s">
        <v>1234</v>
      </c>
      <c r="N105" s="196" t="s">
        <v>1234</v>
      </c>
      <c r="O105" s="196" t="s">
        <v>1234</v>
      </c>
      <c r="P105" s="196" t="s">
        <v>1234</v>
      </c>
      <c r="Q105" s="196" t="s">
        <v>1234</v>
      </c>
      <c r="R105" s="196" t="s">
        <v>1234</v>
      </c>
      <c r="S105" s="196" t="s">
        <v>1234</v>
      </c>
      <c r="T105" s="196" t="s">
        <v>1234</v>
      </c>
      <c r="U105" s="196" t="s">
        <v>1234</v>
      </c>
      <c r="V105" s="196" t="s">
        <v>1234</v>
      </c>
      <c r="W105" s="196" t="s">
        <v>1234</v>
      </c>
      <c r="X105" s="196" t="s">
        <v>1234</v>
      </c>
      <c r="Y105" s="196" t="s">
        <v>1234</v>
      </c>
      <c r="Z105" s="196" t="s">
        <v>1234</v>
      </c>
      <c r="AA105" s="196" t="s">
        <v>1234</v>
      </c>
    </row>
    <row r="106" spans="1:27" x14ac:dyDescent="0.2">
      <c r="A106" s="212" t="s">
        <v>1265</v>
      </c>
      <c r="B106" s="196" t="s">
        <v>1234</v>
      </c>
      <c r="C106" s="196" t="s">
        <v>1234</v>
      </c>
      <c r="D106" s="196" t="s">
        <v>1234</v>
      </c>
      <c r="E106" s="196" t="s">
        <v>1234</v>
      </c>
      <c r="F106" s="196" t="s">
        <v>1234</v>
      </c>
      <c r="G106" s="196" t="s">
        <v>1234</v>
      </c>
      <c r="H106" s="196" t="s">
        <v>1234</v>
      </c>
      <c r="I106" s="196" t="s">
        <v>1234</v>
      </c>
      <c r="J106" s="196" t="s">
        <v>1234</v>
      </c>
      <c r="K106" s="196" t="s">
        <v>1234</v>
      </c>
      <c r="L106" s="196" t="s">
        <v>1234</v>
      </c>
      <c r="M106" s="196" t="s">
        <v>1234</v>
      </c>
      <c r="N106" s="196" t="s">
        <v>1234</v>
      </c>
      <c r="O106" s="196" t="s">
        <v>1234</v>
      </c>
      <c r="P106" s="196" t="s">
        <v>1234</v>
      </c>
      <c r="Q106" s="196" t="s">
        <v>1234</v>
      </c>
      <c r="R106" s="196" t="s">
        <v>1234</v>
      </c>
      <c r="S106" s="196" t="s">
        <v>1234</v>
      </c>
      <c r="T106" s="196" t="s">
        <v>1234</v>
      </c>
      <c r="U106" s="196" t="s">
        <v>1234</v>
      </c>
      <c r="V106" s="196" t="s">
        <v>1234</v>
      </c>
      <c r="W106" s="196" t="s">
        <v>1234</v>
      </c>
      <c r="X106" s="196" t="s">
        <v>1234</v>
      </c>
      <c r="Y106" s="196" t="s">
        <v>1234</v>
      </c>
      <c r="Z106" s="196" t="s">
        <v>1234</v>
      </c>
      <c r="AA106" s="196" t="s">
        <v>1234</v>
      </c>
    </row>
    <row r="107" spans="1:27" x14ac:dyDescent="0.2">
      <c r="A107" s="206" t="s">
        <v>1266</v>
      </c>
      <c r="B107" s="195" t="s">
        <v>1234</v>
      </c>
      <c r="C107" s="195" t="s">
        <v>1234</v>
      </c>
      <c r="D107" s="195" t="s">
        <v>1234</v>
      </c>
      <c r="E107" s="195" t="s">
        <v>1234</v>
      </c>
      <c r="F107" s="195" t="s">
        <v>1234</v>
      </c>
      <c r="G107" s="195" t="s">
        <v>1234</v>
      </c>
      <c r="H107" s="195" t="s">
        <v>1234</v>
      </c>
      <c r="I107" s="195" t="s">
        <v>1234</v>
      </c>
      <c r="J107" s="195" t="s">
        <v>1234</v>
      </c>
      <c r="K107" s="195" t="s">
        <v>1234</v>
      </c>
      <c r="L107" s="195" t="s">
        <v>1234</v>
      </c>
      <c r="M107" s="195" t="s">
        <v>1234</v>
      </c>
      <c r="N107" s="195" t="s">
        <v>1234</v>
      </c>
      <c r="O107" s="195" t="s">
        <v>1234</v>
      </c>
      <c r="P107" s="195" t="s">
        <v>1234</v>
      </c>
      <c r="Q107" s="195" t="s">
        <v>1234</v>
      </c>
      <c r="R107" s="195" t="s">
        <v>1234</v>
      </c>
      <c r="S107" s="195" t="s">
        <v>1234</v>
      </c>
      <c r="T107" s="195" t="s">
        <v>1234</v>
      </c>
      <c r="U107" s="195" t="s">
        <v>1234</v>
      </c>
      <c r="V107" s="195" t="s">
        <v>1234</v>
      </c>
      <c r="W107" s="195" t="s">
        <v>1234</v>
      </c>
      <c r="X107" s="195" t="s">
        <v>1234</v>
      </c>
      <c r="Y107" s="195" t="s">
        <v>1234</v>
      </c>
      <c r="Z107" s="195" t="s">
        <v>1234</v>
      </c>
      <c r="AA107" s="195" t="s">
        <v>1234</v>
      </c>
    </row>
    <row r="108" spans="1:27" x14ac:dyDescent="0.2">
      <c r="A108" s="207" t="s">
        <v>1267</v>
      </c>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1"/>
    </row>
    <row r="109" spans="1:27" ht="14.25" customHeight="1" x14ac:dyDescent="0.2">
      <c r="A109" s="213" t="s">
        <v>1714</v>
      </c>
      <c r="B109" s="193">
        <v>6.1464658299352992</v>
      </c>
      <c r="C109" s="193">
        <v>6.1872492651072957</v>
      </c>
      <c r="D109" s="193">
        <v>6.1368437184879054</v>
      </c>
      <c r="E109" s="193">
        <v>5.7617154863091953</v>
      </c>
      <c r="F109" s="193">
        <v>5.3974346013194729</v>
      </c>
      <c r="G109" s="193">
        <v>5.0440010635187384</v>
      </c>
      <c r="H109" s="193">
        <v>4.7014148729069909</v>
      </c>
      <c r="I109" s="193">
        <v>4.3696760294842321</v>
      </c>
      <c r="J109" s="193">
        <v>4.0487845332504619</v>
      </c>
      <c r="K109" s="193">
        <v>3.7387403842056788</v>
      </c>
      <c r="L109" s="193">
        <v>3.439543582349883</v>
      </c>
      <c r="M109" s="193">
        <v>3.1511941276830759</v>
      </c>
      <c r="N109" s="193">
        <v>2.8736920202052567</v>
      </c>
      <c r="O109" s="193">
        <v>2.6070372599164244</v>
      </c>
      <c r="P109" s="193">
        <v>2.3512298468165804</v>
      </c>
      <c r="Q109" s="193">
        <v>2.1062697809057243</v>
      </c>
      <c r="R109" s="193">
        <v>1.8721570621838559</v>
      </c>
      <c r="S109" s="193">
        <v>1.6488916906509754</v>
      </c>
      <c r="T109" s="193">
        <v>1.4364736663070823</v>
      </c>
      <c r="U109" s="193">
        <v>1.2349029891521774</v>
      </c>
      <c r="V109" s="193">
        <v>1.0441796591862604</v>
      </c>
      <c r="W109" s="193">
        <v>0.8643036764093317</v>
      </c>
      <c r="X109" s="193">
        <v>0.62066209278097895</v>
      </c>
      <c r="Y109" s="193">
        <v>0.76642519648587037</v>
      </c>
      <c r="Z109" s="193">
        <v>0.80168014475074323</v>
      </c>
      <c r="AA109" s="193">
        <v>0.80168014475074323</v>
      </c>
    </row>
    <row r="110" spans="1:27" x14ac:dyDescent="0.2">
      <c r="A110" s="212" t="s">
        <v>1201</v>
      </c>
      <c r="B110" s="196" t="s">
        <v>1234</v>
      </c>
      <c r="C110" s="196" t="s">
        <v>1234</v>
      </c>
      <c r="D110" s="196" t="s">
        <v>1234</v>
      </c>
      <c r="E110" s="196" t="s">
        <v>1234</v>
      </c>
      <c r="F110" s="196" t="s">
        <v>1234</v>
      </c>
      <c r="G110" s="196" t="s">
        <v>1234</v>
      </c>
      <c r="H110" s="196" t="s">
        <v>1234</v>
      </c>
      <c r="I110" s="196" t="s">
        <v>1234</v>
      </c>
      <c r="J110" s="196" t="s">
        <v>1234</v>
      </c>
      <c r="K110" s="196" t="s">
        <v>1234</v>
      </c>
      <c r="L110" s="196" t="s">
        <v>1234</v>
      </c>
      <c r="M110" s="196" t="s">
        <v>1234</v>
      </c>
      <c r="N110" s="196" t="s">
        <v>1234</v>
      </c>
      <c r="O110" s="196" t="s">
        <v>1234</v>
      </c>
      <c r="P110" s="196" t="s">
        <v>1234</v>
      </c>
      <c r="Q110" s="196" t="s">
        <v>1234</v>
      </c>
      <c r="R110" s="196" t="s">
        <v>1234</v>
      </c>
      <c r="S110" s="196" t="s">
        <v>1234</v>
      </c>
      <c r="T110" s="196" t="s">
        <v>1234</v>
      </c>
      <c r="U110" s="196" t="s">
        <v>1234</v>
      </c>
      <c r="V110" s="196" t="s">
        <v>1234</v>
      </c>
      <c r="W110" s="196">
        <v>0.56294515478057638</v>
      </c>
      <c r="X110" s="196">
        <v>0.28948373875392636</v>
      </c>
      <c r="Y110" s="196">
        <v>0.34416603882159447</v>
      </c>
      <c r="Z110" s="196">
        <v>0.34860466061630346</v>
      </c>
      <c r="AA110" s="196">
        <v>0.34860466061630346</v>
      </c>
    </row>
    <row r="111" spans="1:27" x14ac:dyDescent="0.2">
      <c r="A111" s="212" t="s">
        <v>1202</v>
      </c>
      <c r="B111" s="196" t="s">
        <v>1234</v>
      </c>
      <c r="C111" s="196" t="s">
        <v>1234</v>
      </c>
      <c r="D111" s="196" t="s">
        <v>1234</v>
      </c>
      <c r="E111" s="196" t="s">
        <v>1234</v>
      </c>
      <c r="F111" s="196" t="s">
        <v>1234</v>
      </c>
      <c r="G111" s="196" t="s">
        <v>1234</v>
      </c>
      <c r="H111" s="196" t="s">
        <v>1234</v>
      </c>
      <c r="I111" s="196" t="s">
        <v>1234</v>
      </c>
      <c r="J111" s="196" t="s">
        <v>1234</v>
      </c>
      <c r="K111" s="196" t="s">
        <v>1234</v>
      </c>
      <c r="L111" s="196" t="s">
        <v>1234</v>
      </c>
      <c r="M111" s="196" t="s">
        <v>1234</v>
      </c>
      <c r="N111" s="196" t="s">
        <v>1234</v>
      </c>
      <c r="O111" s="196" t="s">
        <v>1234</v>
      </c>
      <c r="P111" s="196" t="s">
        <v>1234</v>
      </c>
      <c r="Q111" s="196" t="s">
        <v>1234</v>
      </c>
      <c r="R111" s="196" t="s">
        <v>1234</v>
      </c>
      <c r="S111" s="196" t="s">
        <v>1234</v>
      </c>
      <c r="T111" s="196" t="s">
        <v>1234</v>
      </c>
      <c r="U111" s="196" t="s">
        <v>1234</v>
      </c>
      <c r="V111" s="196" t="s">
        <v>1234</v>
      </c>
      <c r="W111" s="196">
        <v>0.28702351988349867</v>
      </c>
      <c r="X111" s="196">
        <v>0.31292787607503975</v>
      </c>
      <c r="Y111" s="196">
        <v>0.40165366628084509</v>
      </c>
      <c r="Z111" s="196">
        <v>0.42947361564626696</v>
      </c>
      <c r="AA111" s="196">
        <v>0.42947361564626696</v>
      </c>
    </row>
    <row r="112" spans="1:27" x14ac:dyDescent="0.2">
      <c r="A112" s="212" t="s">
        <v>1200</v>
      </c>
      <c r="B112" s="196" t="s">
        <v>1234</v>
      </c>
      <c r="C112" s="196" t="s">
        <v>1234</v>
      </c>
      <c r="D112" s="196" t="s">
        <v>1234</v>
      </c>
      <c r="E112" s="196" t="s">
        <v>1234</v>
      </c>
      <c r="F112" s="196" t="s">
        <v>1234</v>
      </c>
      <c r="G112" s="196" t="s">
        <v>1234</v>
      </c>
      <c r="H112" s="196" t="s">
        <v>1234</v>
      </c>
      <c r="I112" s="196" t="s">
        <v>1234</v>
      </c>
      <c r="J112" s="196" t="s">
        <v>1234</v>
      </c>
      <c r="K112" s="196" t="s">
        <v>1234</v>
      </c>
      <c r="L112" s="196" t="s">
        <v>1234</v>
      </c>
      <c r="M112" s="196" t="s">
        <v>1234</v>
      </c>
      <c r="N112" s="196" t="s">
        <v>1234</v>
      </c>
      <c r="O112" s="196" t="s">
        <v>1234</v>
      </c>
      <c r="P112" s="196" t="s">
        <v>1234</v>
      </c>
      <c r="Q112" s="196" t="s">
        <v>1234</v>
      </c>
      <c r="R112" s="196" t="s">
        <v>1234</v>
      </c>
      <c r="S112" s="196" t="s">
        <v>1234</v>
      </c>
      <c r="T112" s="196" t="s">
        <v>1234</v>
      </c>
      <c r="U112" s="196" t="s">
        <v>1234</v>
      </c>
      <c r="V112" s="196" t="s">
        <v>1234</v>
      </c>
      <c r="W112" s="215">
        <v>1.433500174525649E-2</v>
      </c>
      <c r="X112" s="215">
        <v>1.8250477952012747E-2</v>
      </c>
      <c r="Y112" s="215">
        <v>2.0605491383430808E-2</v>
      </c>
      <c r="Z112" s="215">
        <v>2.3601868488172788E-2</v>
      </c>
      <c r="AA112" s="215">
        <v>2.3601868488172788E-2</v>
      </c>
    </row>
    <row r="113" spans="1:27" x14ac:dyDescent="0.2">
      <c r="A113" s="212" t="s">
        <v>1269</v>
      </c>
      <c r="B113" s="196">
        <v>1.2819244062802997</v>
      </c>
      <c r="C113" s="196">
        <v>1.3299537686131691</v>
      </c>
      <c r="D113" s="196">
        <v>1.3691522162957173</v>
      </c>
      <c r="E113" s="196">
        <v>1.3523410984881816</v>
      </c>
      <c r="F113" s="196">
        <v>1.3338194069201128</v>
      </c>
      <c r="G113" s="196">
        <v>1.313587141591511</v>
      </c>
      <c r="H113" s="196">
        <v>1.2916443025023758</v>
      </c>
      <c r="I113" s="196">
        <v>1.2679908896527075</v>
      </c>
      <c r="J113" s="196">
        <v>1.2426269030425063</v>
      </c>
      <c r="K113" s="196">
        <v>1.2155523426717716</v>
      </c>
      <c r="L113" s="196">
        <v>1.1867672085405039</v>
      </c>
      <c r="M113" s="196">
        <v>1.1562715006487028</v>
      </c>
      <c r="N113" s="196">
        <v>1.1240652189963687</v>
      </c>
      <c r="O113" s="196">
        <v>1.0901483635835012</v>
      </c>
      <c r="P113" s="196">
        <v>1.0545209344101008</v>
      </c>
      <c r="Q113" s="196">
        <v>1.0171829314761673</v>
      </c>
      <c r="R113" s="196">
        <v>0.97813435478170019</v>
      </c>
      <c r="S113" s="196">
        <v>0.93737520432670007</v>
      </c>
      <c r="T113" s="196">
        <v>0.89490548011116677</v>
      </c>
      <c r="U113" s="196">
        <v>0.85072518213510018</v>
      </c>
      <c r="V113" s="196">
        <v>0.80483431039850062</v>
      </c>
      <c r="W113" s="196">
        <v>0.75723286490136754</v>
      </c>
      <c r="X113" s="196">
        <v>0.74982080638483928</v>
      </c>
      <c r="Y113" s="196">
        <v>0.86760858546436892</v>
      </c>
      <c r="Z113" s="196">
        <v>0.84703731177792474</v>
      </c>
      <c r="AA113" s="196">
        <v>0.84703731177792474</v>
      </c>
    </row>
    <row r="114" spans="1:27" x14ac:dyDescent="0.2">
      <c r="A114" s="212" t="s">
        <v>1201</v>
      </c>
      <c r="B114" s="196" t="s">
        <v>1234</v>
      </c>
      <c r="C114" s="196" t="s">
        <v>1234</v>
      </c>
      <c r="D114" s="196" t="s">
        <v>1234</v>
      </c>
      <c r="E114" s="196" t="s">
        <v>1234</v>
      </c>
      <c r="F114" s="196" t="s">
        <v>1234</v>
      </c>
      <c r="G114" s="196" t="s">
        <v>1234</v>
      </c>
      <c r="H114" s="196" t="s">
        <v>1234</v>
      </c>
      <c r="I114" s="196" t="s">
        <v>1234</v>
      </c>
      <c r="J114" s="196" t="s">
        <v>1234</v>
      </c>
      <c r="K114" s="196" t="s">
        <v>1234</v>
      </c>
      <c r="L114" s="196" t="s">
        <v>1234</v>
      </c>
      <c r="M114" s="196" t="s">
        <v>1234</v>
      </c>
      <c r="N114" s="196" t="s">
        <v>1234</v>
      </c>
      <c r="O114" s="196" t="s">
        <v>1234</v>
      </c>
      <c r="P114" s="196" t="s">
        <v>1234</v>
      </c>
      <c r="Q114" s="196" t="s">
        <v>1234</v>
      </c>
      <c r="R114" s="196" t="s">
        <v>1234</v>
      </c>
      <c r="S114" s="196" t="s">
        <v>1234</v>
      </c>
      <c r="T114" s="196" t="s">
        <v>1234</v>
      </c>
      <c r="U114" s="196" t="s">
        <v>1234</v>
      </c>
      <c r="V114" s="196" t="s">
        <v>1234</v>
      </c>
      <c r="W114" s="196">
        <v>0.65442026100902029</v>
      </c>
      <c r="X114" s="196">
        <v>0.62686177372741436</v>
      </c>
      <c r="Y114" s="196">
        <v>0.71975097475772243</v>
      </c>
      <c r="Z114" s="196">
        <v>0.68889253952582719</v>
      </c>
      <c r="AA114" s="196">
        <v>0.68889253952582719</v>
      </c>
    </row>
    <row r="115" spans="1:27" x14ac:dyDescent="0.2">
      <c r="A115" s="212" t="s">
        <v>1202</v>
      </c>
      <c r="B115" s="196" t="s">
        <v>1234</v>
      </c>
      <c r="C115" s="196" t="s">
        <v>1234</v>
      </c>
      <c r="D115" s="196" t="s">
        <v>1234</v>
      </c>
      <c r="E115" s="196" t="s">
        <v>1234</v>
      </c>
      <c r="F115" s="196" t="s">
        <v>1234</v>
      </c>
      <c r="G115" s="196" t="s">
        <v>1234</v>
      </c>
      <c r="H115" s="196" t="s">
        <v>1234</v>
      </c>
      <c r="I115" s="196" t="s">
        <v>1234</v>
      </c>
      <c r="J115" s="196" t="s">
        <v>1234</v>
      </c>
      <c r="K115" s="196" t="s">
        <v>1234</v>
      </c>
      <c r="L115" s="196" t="s">
        <v>1234</v>
      </c>
      <c r="M115" s="196" t="s">
        <v>1234</v>
      </c>
      <c r="N115" s="196" t="s">
        <v>1234</v>
      </c>
      <c r="O115" s="196" t="s">
        <v>1234</v>
      </c>
      <c r="P115" s="196" t="s">
        <v>1234</v>
      </c>
      <c r="Q115" s="196" t="s">
        <v>1234</v>
      </c>
      <c r="R115" s="196" t="s">
        <v>1234</v>
      </c>
      <c r="S115" s="196" t="s">
        <v>1234</v>
      </c>
      <c r="T115" s="196" t="s">
        <v>1234</v>
      </c>
      <c r="U115" s="196" t="s">
        <v>1234</v>
      </c>
      <c r="V115" s="196" t="s">
        <v>1234</v>
      </c>
      <c r="W115" s="196">
        <v>9.2662061006553581E-2</v>
      </c>
      <c r="X115" s="196">
        <v>0.11056134009866753</v>
      </c>
      <c r="Y115" s="196">
        <v>0.13060476209441302</v>
      </c>
      <c r="Z115" s="196">
        <v>0.14480883438783801</v>
      </c>
      <c r="AA115" s="196">
        <v>0.14480883438783801</v>
      </c>
    </row>
    <row r="116" spans="1:27" x14ac:dyDescent="0.2">
      <c r="A116" s="206" t="s">
        <v>1200</v>
      </c>
      <c r="B116" s="195" t="s">
        <v>1234</v>
      </c>
      <c r="C116" s="195" t="s">
        <v>1234</v>
      </c>
      <c r="D116" s="195" t="s">
        <v>1234</v>
      </c>
      <c r="E116" s="195" t="s">
        <v>1234</v>
      </c>
      <c r="F116" s="195" t="s">
        <v>1234</v>
      </c>
      <c r="G116" s="195" t="s">
        <v>1234</v>
      </c>
      <c r="H116" s="195" t="s">
        <v>1234</v>
      </c>
      <c r="I116" s="195" t="s">
        <v>1234</v>
      </c>
      <c r="J116" s="195" t="s">
        <v>1234</v>
      </c>
      <c r="K116" s="195" t="s">
        <v>1234</v>
      </c>
      <c r="L116" s="195" t="s">
        <v>1234</v>
      </c>
      <c r="M116" s="195" t="s">
        <v>1234</v>
      </c>
      <c r="N116" s="195" t="s">
        <v>1234</v>
      </c>
      <c r="O116" s="195" t="s">
        <v>1234</v>
      </c>
      <c r="P116" s="195" t="s">
        <v>1234</v>
      </c>
      <c r="Q116" s="195" t="s">
        <v>1234</v>
      </c>
      <c r="R116" s="195" t="s">
        <v>1234</v>
      </c>
      <c r="S116" s="195" t="s">
        <v>1234</v>
      </c>
      <c r="T116" s="195" t="s">
        <v>1234</v>
      </c>
      <c r="U116" s="195" t="s">
        <v>1234</v>
      </c>
      <c r="V116" s="195" t="s">
        <v>1234</v>
      </c>
      <c r="W116" s="216">
        <v>1.0150542885793579E-2</v>
      </c>
      <c r="X116" s="216">
        <v>1.2397692558757329E-2</v>
      </c>
      <c r="Y116" s="216">
        <v>1.7252848612233435E-2</v>
      </c>
      <c r="Z116" s="216">
        <v>1.3335937864259767E-2</v>
      </c>
      <c r="AA116" s="216">
        <v>1.3335937864259767E-2</v>
      </c>
    </row>
    <row r="117" spans="1:27" x14ac:dyDescent="0.2">
      <c r="A117" s="207" t="s">
        <v>1270</v>
      </c>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1"/>
    </row>
    <row r="118" spans="1:27" x14ac:dyDescent="0.2">
      <c r="A118" s="217" t="s">
        <v>1271</v>
      </c>
      <c r="B118" s="218">
        <v>5.1331244979925046</v>
      </c>
      <c r="C118" s="218">
        <v>5.167184143972162</v>
      </c>
      <c r="D118" s="218">
        <v>5.1250887425910054</v>
      </c>
      <c r="E118" s="218">
        <v>5.1566515017719476</v>
      </c>
      <c r="F118" s="218">
        <v>5.3022797867505345</v>
      </c>
      <c r="G118" s="218">
        <v>5.2214298888597419</v>
      </c>
      <c r="H118" s="218">
        <v>5.0055898504496783</v>
      </c>
      <c r="I118" s="218">
        <v>5.1761166685760163</v>
      </c>
      <c r="J118" s="218">
        <v>5.3227472250160588</v>
      </c>
      <c r="K118" s="218">
        <v>5.2058155545128466</v>
      </c>
      <c r="L118" s="218">
        <v>5.2567731456584568</v>
      </c>
      <c r="M118" s="218">
        <v>5.0991703542719478</v>
      </c>
      <c r="N118" s="218">
        <v>5.3278465008725897</v>
      </c>
      <c r="O118" s="218">
        <v>5.3013654338383285</v>
      </c>
      <c r="P118" s="218">
        <v>5.3278816682922896</v>
      </c>
      <c r="Q118" s="218">
        <v>5.2833421312419695</v>
      </c>
      <c r="R118" s="218">
        <v>5.2808100770235535</v>
      </c>
      <c r="S118" s="218">
        <v>5.2938571897323339</v>
      </c>
      <c r="T118" s="218">
        <v>5.3310467360653098</v>
      </c>
      <c r="U118" s="218">
        <v>5.3555232601766587</v>
      </c>
      <c r="V118" s="218">
        <v>5.359602680861884</v>
      </c>
      <c r="W118" s="218">
        <v>5.3640513594539607</v>
      </c>
      <c r="X118" s="218">
        <v>5.3338601296413266</v>
      </c>
      <c r="Y118" s="218">
        <v>5.3239429172858665</v>
      </c>
      <c r="Z118" s="218">
        <v>5.3058492798501069</v>
      </c>
      <c r="AA118" s="218">
        <v>5.3058492798501069</v>
      </c>
    </row>
    <row r="119" spans="1:27" x14ac:dyDescent="0.2">
      <c r="A119" s="207" t="s">
        <v>1272</v>
      </c>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1"/>
    </row>
    <row r="120" spans="1:27" ht="11.25" customHeight="1" x14ac:dyDescent="0.2">
      <c r="A120" s="213" t="s">
        <v>1273</v>
      </c>
      <c r="B120" s="193">
        <v>4.1965753552185152</v>
      </c>
      <c r="C120" s="193">
        <v>4.2244207486005765</v>
      </c>
      <c r="D120" s="193">
        <v>4.190005739949747</v>
      </c>
      <c r="E120" s="193">
        <v>4.1583629701018348</v>
      </c>
      <c r="F120" s="193">
        <v>4.1267202002539216</v>
      </c>
      <c r="G120" s="193">
        <v>4.0950774304060076</v>
      </c>
      <c r="H120" s="193">
        <v>4.0634346605580953</v>
      </c>
      <c r="I120" s="193">
        <v>4.0317918907101822</v>
      </c>
      <c r="J120" s="193">
        <v>4.0001491208622681</v>
      </c>
      <c r="K120" s="193">
        <v>3.9685063510143554</v>
      </c>
      <c r="L120" s="193">
        <v>3.9368635811664427</v>
      </c>
      <c r="M120" s="193">
        <v>3.9052208113185292</v>
      </c>
      <c r="N120" s="193">
        <v>3.8735780414706165</v>
      </c>
      <c r="O120" s="193">
        <v>3.8419352716227038</v>
      </c>
      <c r="P120" s="193">
        <v>3.8102925017747897</v>
      </c>
      <c r="Q120" s="193">
        <v>3.778649731926877</v>
      </c>
      <c r="R120" s="193">
        <v>3.7470069620789639</v>
      </c>
      <c r="S120" s="193">
        <v>3.7153641922310503</v>
      </c>
      <c r="T120" s="193">
        <v>3.6837214223831376</v>
      </c>
      <c r="U120" s="193">
        <v>3.6520786525352245</v>
      </c>
      <c r="V120" s="193">
        <v>3.6204358826873109</v>
      </c>
      <c r="W120" s="193">
        <v>3.5887931128394004</v>
      </c>
      <c r="X120" s="193">
        <v>3.8432672951820126</v>
      </c>
      <c r="Y120" s="193">
        <v>4.1514067599828683</v>
      </c>
      <c r="Z120" s="193">
        <v>4.4412380327537475</v>
      </c>
      <c r="AA120" s="193">
        <v>4.4412380327537475</v>
      </c>
    </row>
    <row r="121" spans="1:27" x14ac:dyDescent="0.2">
      <c r="A121" s="206" t="s">
        <v>1274</v>
      </c>
      <c r="B121" s="195">
        <v>0.87524086728966666</v>
      </c>
      <c r="C121" s="195">
        <v>0.90799470370120161</v>
      </c>
      <c r="D121" s="195">
        <v>0.93478334967880083</v>
      </c>
      <c r="E121" s="195">
        <v>0.92670784983651788</v>
      </c>
      <c r="F121" s="195">
        <v>0.9186323499942346</v>
      </c>
      <c r="G121" s="195">
        <v>0.91055685015195165</v>
      </c>
      <c r="H121" s="195">
        <v>0.9024813503096687</v>
      </c>
      <c r="I121" s="195">
        <v>0.89440585046738552</v>
      </c>
      <c r="J121" s="195">
        <v>0.88633035062510257</v>
      </c>
      <c r="K121" s="195">
        <v>0.87825485078281951</v>
      </c>
      <c r="L121" s="195">
        <v>0.87017935094053656</v>
      </c>
      <c r="M121" s="195">
        <v>0.86210385109825349</v>
      </c>
      <c r="N121" s="195">
        <v>0.85402835125597054</v>
      </c>
      <c r="O121" s="195">
        <v>0.84595285141368748</v>
      </c>
      <c r="P121" s="195">
        <v>0.83787735157140431</v>
      </c>
      <c r="Q121" s="195">
        <v>0.82980185172912191</v>
      </c>
      <c r="R121" s="195">
        <v>0.83626784018415412</v>
      </c>
      <c r="S121" s="195">
        <v>0.82980185172912191</v>
      </c>
      <c r="T121" s="195">
        <v>0.84704448760920747</v>
      </c>
      <c r="U121" s="195">
        <v>0.84919981709421832</v>
      </c>
      <c r="V121" s="195">
        <v>0.85135514657922906</v>
      </c>
      <c r="W121" s="195">
        <v>0.85782113503426127</v>
      </c>
      <c r="X121" s="195">
        <v>0.85782113503426127</v>
      </c>
      <c r="Y121" s="195">
        <v>0.86213179400428253</v>
      </c>
      <c r="Z121" s="195">
        <v>0.86213179400428253</v>
      </c>
      <c r="AA121" s="195">
        <v>0.86213179400428253</v>
      </c>
    </row>
    <row r="122" spans="1:27" x14ac:dyDescent="0.2">
      <c r="A122" s="219" t="s">
        <v>1275</v>
      </c>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c r="AA122" s="221"/>
    </row>
    <row r="123" spans="1:27" x14ac:dyDescent="0.2">
      <c r="A123" s="213" t="s">
        <v>1276</v>
      </c>
      <c r="B123" s="193">
        <v>0.30954750579654777</v>
      </c>
      <c r="C123" s="193">
        <v>0.3131115568718561</v>
      </c>
      <c r="D123" s="193">
        <v>0.31667560794716448</v>
      </c>
      <c r="E123" s="193">
        <v>0.32023965902247276</v>
      </c>
      <c r="F123" s="193">
        <v>0.32380371009778114</v>
      </c>
      <c r="G123" s="193">
        <v>0.32736776117308952</v>
      </c>
      <c r="H123" s="193">
        <v>0.33093181224839779</v>
      </c>
      <c r="I123" s="193">
        <v>0.33449586332370623</v>
      </c>
      <c r="J123" s="193">
        <v>0.33805991439901451</v>
      </c>
      <c r="K123" s="193">
        <v>0.34162396547432289</v>
      </c>
      <c r="L123" s="193">
        <v>0.3451880165496311</v>
      </c>
      <c r="M123" s="193">
        <v>0.34875206762493965</v>
      </c>
      <c r="N123" s="193">
        <v>0.35231611870024787</v>
      </c>
      <c r="O123" s="193">
        <v>0.3558801697755562</v>
      </c>
      <c r="P123" s="193">
        <v>0.3558801697755562</v>
      </c>
      <c r="Q123" s="193">
        <v>0.3558801697755562</v>
      </c>
      <c r="R123" s="193">
        <v>0.3558801697755562</v>
      </c>
      <c r="S123" s="193">
        <v>0.3558801697755562</v>
      </c>
      <c r="T123" s="193">
        <v>0.3558801697755562</v>
      </c>
      <c r="U123" s="193">
        <v>0.3558801697755562</v>
      </c>
      <c r="V123" s="193">
        <v>0.3558801697755562</v>
      </c>
      <c r="W123" s="193">
        <v>0.3558801697755562</v>
      </c>
      <c r="X123" s="193">
        <v>0.3558801697755562</v>
      </c>
      <c r="Y123" s="193">
        <v>0.3558801697755562</v>
      </c>
      <c r="Z123" s="193">
        <v>0.3558801697755562</v>
      </c>
      <c r="AA123" s="193">
        <v>0.3558801697755562</v>
      </c>
    </row>
    <row r="124" spans="1:27" x14ac:dyDescent="0.2">
      <c r="A124" s="212" t="s">
        <v>1277</v>
      </c>
      <c r="B124" s="196">
        <v>1.1557265525937916</v>
      </c>
      <c r="C124" s="196">
        <v>1.1702841816326637</v>
      </c>
      <c r="D124" s="196">
        <v>1.1848418106715353</v>
      </c>
      <c r="E124" s="196">
        <v>1.1993994397104071</v>
      </c>
      <c r="F124" s="196">
        <v>1.2139570687492789</v>
      </c>
      <c r="G124" s="196">
        <v>1.2285146977881509</v>
      </c>
      <c r="H124" s="196">
        <v>1.2430723268270225</v>
      </c>
      <c r="I124" s="196">
        <v>1.2576299558658945</v>
      </c>
      <c r="J124" s="196">
        <v>1.2721875849047664</v>
      </c>
      <c r="K124" s="196">
        <v>1.2867452139436382</v>
      </c>
      <c r="L124" s="196">
        <v>1.3013028429825102</v>
      </c>
      <c r="M124" s="196">
        <v>1.315860472021382</v>
      </c>
      <c r="N124" s="196">
        <v>1.3304181010602538</v>
      </c>
      <c r="O124" s="196">
        <v>1.3449757300991259</v>
      </c>
      <c r="P124" s="196">
        <v>1.3449757300991259</v>
      </c>
      <c r="Q124" s="196">
        <v>1.3449757300991259</v>
      </c>
      <c r="R124" s="196">
        <v>1.3449757300991259</v>
      </c>
      <c r="S124" s="196">
        <v>1.3449757300991259</v>
      </c>
      <c r="T124" s="196">
        <v>1.3449757300991259</v>
      </c>
      <c r="U124" s="196">
        <v>1.3449757300991259</v>
      </c>
      <c r="V124" s="196">
        <v>1.3449757300991259</v>
      </c>
      <c r="W124" s="196">
        <v>1.3449757300991259</v>
      </c>
      <c r="X124" s="196">
        <v>1.3449757300991259</v>
      </c>
      <c r="Y124" s="196">
        <v>1.3449757300991259</v>
      </c>
      <c r="Z124" s="196">
        <v>1.3449757300991259</v>
      </c>
      <c r="AA124" s="196">
        <v>1.3449757300991259</v>
      </c>
    </row>
    <row r="125" spans="1:27" x14ac:dyDescent="0.2">
      <c r="A125" s="206" t="s">
        <v>1278</v>
      </c>
      <c r="B125" s="195">
        <v>0.39480851601735678</v>
      </c>
      <c r="C125" s="195">
        <v>0.39991422177037911</v>
      </c>
      <c r="D125" s="195">
        <v>0.40501992752340138</v>
      </c>
      <c r="E125" s="195">
        <v>0.41012563327642365</v>
      </c>
      <c r="F125" s="195">
        <v>0.41523133902944598</v>
      </c>
      <c r="G125" s="195">
        <v>0.42033704478246825</v>
      </c>
      <c r="H125" s="195">
        <v>0.42544275053549052</v>
      </c>
      <c r="I125" s="195">
        <v>0.43054845628851274</v>
      </c>
      <c r="J125" s="195">
        <v>0.43565416204153501</v>
      </c>
      <c r="K125" s="195">
        <v>0.44075986779455728</v>
      </c>
      <c r="L125" s="195">
        <v>0.44586557354757944</v>
      </c>
      <c r="M125" s="195">
        <v>0.45097127930060188</v>
      </c>
      <c r="N125" s="195">
        <v>0.4560769850536241</v>
      </c>
      <c r="O125" s="195">
        <v>0.46118269080664648</v>
      </c>
      <c r="P125" s="195">
        <v>0.46118269080664648</v>
      </c>
      <c r="Q125" s="195">
        <v>0.46118269080664648</v>
      </c>
      <c r="R125" s="195">
        <v>0.46118269080664648</v>
      </c>
      <c r="S125" s="195">
        <v>0.46118269080664648</v>
      </c>
      <c r="T125" s="195">
        <v>0.46118269080664648</v>
      </c>
      <c r="U125" s="195">
        <v>0.46118269080664648</v>
      </c>
      <c r="V125" s="195">
        <v>0.46118269080664648</v>
      </c>
      <c r="W125" s="195">
        <v>0.46118269080664648</v>
      </c>
      <c r="X125" s="195">
        <v>0.46118269080664648</v>
      </c>
      <c r="Y125" s="195">
        <v>0.46118269080664648</v>
      </c>
      <c r="Z125" s="195">
        <v>0.46118269080664648</v>
      </c>
      <c r="AA125" s="195">
        <v>0.46118269080664648</v>
      </c>
    </row>
    <row r="126" spans="1:27" x14ac:dyDescent="0.2">
      <c r="A126" s="207" t="s">
        <v>1279</v>
      </c>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1"/>
    </row>
    <row r="127" spans="1:27" x14ac:dyDescent="0.2">
      <c r="A127" s="213" t="s">
        <v>1280</v>
      </c>
      <c r="B127" s="193" t="s">
        <v>1234</v>
      </c>
      <c r="C127" s="193" t="s">
        <v>1234</v>
      </c>
      <c r="D127" s="193" t="s">
        <v>1234</v>
      </c>
      <c r="E127" s="193" t="s">
        <v>1234</v>
      </c>
      <c r="F127" s="193" t="s">
        <v>1234</v>
      </c>
      <c r="G127" s="193" t="s">
        <v>1234</v>
      </c>
      <c r="H127" s="193" t="s">
        <v>1234</v>
      </c>
      <c r="I127" s="193" t="s">
        <v>1234</v>
      </c>
      <c r="J127" s="193" t="s">
        <v>1234</v>
      </c>
      <c r="K127" s="193" t="s">
        <v>1234</v>
      </c>
      <c r="L127" s="193" t="s">
        <v>1234</v>
      </c>
      <c r="M127" s="193" t="s">
        <v>1234</v>
      </c>
      <c r="N127" s="193" t="s">
        <v>1234</v>
      </c>
      <c r="O127" s="193" t="s">
        <v>1234</v>
      </c>
      <c r="P127" s="193" t="s">
        <v>1234</v>
      </c>
      <c r="Q127" s="193" t="s">
        <v>1234</v>
      </c>
      <c r="R127" s="193" t="s">
        <v>1234</v>
      </c>
      <c r="S127" s="193" t="s">
        <v>1234</v>
      </c>
      <c r="T127" s="193" t="s">
        <v>1234</v>
      </c>
      <c r="U127" s="193" t="s">
        <v>1234</v>
      </c>
      <c r="V127" s="193" t="s">
        <v>1234</v>
      </c>
      <c r="W127" s="193" t="s">
        <v>1234</v>
      </c>
      <c r="X127" s="193" t="s">
        <v>1234</v>
      </c>
      <c r="Y127" s="193" t="s">
        <v>1234</v>
      </c>
      <c r="Z127" s="193" t="s">
        <v>1234</v>
      </c>
      <c r="AA127" s="193" t="s">
        <v>1234</v>
      </c>
    </row>
    <row r="128" spans="1:27" x14ac:dyDescent="0.2">
      <c r="A128" s="212" t="s">
        <v>1281</v>
      </c>
      <c r="B128" s="196" t="s">
        <v>1234</v>
      </c>
      <c r="C128" s="196" t="s">
        <v>1234</v>
      </c>
      <c r="D128" s="196" t="s">
        <v>1234</v>
      </c>
      <c r="E128" s="196" t="s">
        <v>1234</v>
      </c>
      <c r="F128" s="196" t="s">
        <v>1234</v>
      </c>
      <c r="G128" s="196" t="s">
        <v>1234</v>
      </c>
      <c r="H128" s="196" t="s">
        <v>1234</v>
      </c>
      <c r="I128" s="196" t="s">
        <v>1234</v>
      </c>
      <c r="J128" s="196" t="s">
        <v>1234</v>
      </c>
      <c r="K128" s="196" t="s">
        <v>1234</v>
      </c>
      <c r="L128" s="196" t="s">
        <v>1234</v>
      </c>
      <c r="M128" s="196" t="s">
        <v>1234</v>
      </c>
      <c r="N128" s="196" t="s">
        <v>1234</v>
      </c>
      <c r="O128" s="196" t="s">
        <v>1234</v>
      </c>
      <c r="P128" s="196" t="s">
        <v>1234</v>
      </c>
      <c r="Q128" s="196" t="s">
        <v>1234</v>
      </c>
      <c r="R128" s="196" t="s">
        <v>1234</v>
      </c>
      <c r="S128" s="196" t="s">
        <v>1234</v>
      </c>
      <c r="T128" s="196" t="s">
        <v>1234</v>
      </c>
      <c r="U128" s="196" t="s">
        <v>1234</v>
      </c>
      <c r="V128" s="196" t="s">
        <v>1234</v>
      </c>
      <c r="W128" s="196" t="s">
        <v>1234</v>
      </c>
      <c r="X128" s="196" t="s">
        <v>1234</v>
      </c>
      <c r="Y128" s="196" t="s">
        <v>1234</v>
      </c>
      <c r="Z128" s="196" t="s">
        <v>1234</v>
      </c>
      <c r="AA128" s="196" t="s">
        <v>1234</v>
      </c>
    </row>
    <row r="129" spans="1:27" x14ac:dyDescent="0.2">
      <c r="A129" s="206" t="s">
        <v>1282</v>
      </c>
      <c r="B129" s="195">
        <v>0.17188638522496358</v>
      </c>
      <c r="C129" s="195">
        <v>0.17386544124906397</v>
      </c>
      <c r="D129" s="195">
        <v>0.17584449727316431</v>
      </c>
      <c r="E129" s="195">
        <v>0.17782355329726462</v>
      </c>
      <c r="F129" s="195">
        <v>0.17980260932136499</v>
      </c>
      <c r="G129" s="195">
        <v>0.18178166534546536</v>
      </c>
      <c r="H129" s="195">
        <v>0.18376072136956567</v>
      </c>
      <c r="I129" s="195">
        <v>0.18573977739366607</v>
      </c>
      <c r="J129" s="195">
        <v>0.18771883341776635</v>
      </c>
      <c r="K129" s="195">
        <v>0.18969788944186675</v>
      </c>
      <c r="L129" s="195">
        <v>0.19167694546596703</v>
      </c>
      <c r="M129" s="195">
        <v>0.19365600149006743</v>
      </c>
      <c r="N129" s="195">
        <v>0.19563505751416779</v>
      </c>
      <c r="O129" s="195">
        <v>0.19761411353826813</v>
      </c>
      <c r="P129" s="195">
        <v>0.19761411353826813</v>
      </c>
      <c r="Q129" s="195">
        <v>0.19761411353826813</v>
      </c>
      <c r="R129" s="195">
        <v>0.19761411353826813</v>
      </c>
      <c r="S129" s="195">
        <v>0.19761411353826813</v>
      </c>
      <c r="T129" s="195">
        <v>0.19761411353826813</v>
      </c>
      <c r="U129" s="195">
        <v>0.19761411353826813</v>
      </c>
      <c r="V129" s="195">
        <v>0.19761411353826813</v>
      </c>
      <c r="W129" s="195">
        <v>0.19761411353826813</v>
      </c>
      <c r="X129" s="195">
        <v>0.19761411353826813</v>
      </c>
      <c r="Y129" s="195">
        <v>0.19761411353826813</v>
      </c>
      <c r="Z129" s="195">
        <v>0.19761411353826813</v>
      </c>
      <c r="AA129" s="195">
        <v>0.19761411353826813</v>
      </c>
    </row>
    <row r="130" spans="1:27" x14ac:dyDescent="0.2">
      <c r="A130" s="219" t="s">
        <v>1283</v>
      </c>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c r="AA130" s="221"/>
    </row>
    <row r="131" spans="1:27" x14ac:dyDescent="0.2">
      <c r="A131" s="213" t="s">
        <v>1276</v>
      </c>
      <c r="B131" s="342">
        <v>7.0912644134041953E-3</v>
      </c>
      <c r="C131" s="342">
        <v>7.0912644134041953E-3</v>
      </c>
      <c r="D131" s="342">
        <v>7.0912644134041953E-3</v>
      </c>
      <c r="E131" s="342">
        <v>7.0912644134041953E-3</v>
      </c>
      <c r="F131" s="342">
        <v>7.0912644134041953E-3</v>
      </c>
      <c r="G131" s="342">
        <v>7.0912644134041953E-3</v>
      </c>
      <c r="H131" s="342">
        <v>7.0912644134041953E-3</v>
      </c>
      <c r="I131" s="342">
        <v>7.0912644134041953E-3</v>
      </c>
      <c r="J131" s="342">
        <v>7.0912644134041953E-3</v>
      </c>
      <c r="K131" s="342">
        <v>7.0912644134041953E-3</v>
      </c>
      <c r="L131" s="342">
        <v>7.0912644134041953E-3</v>
      </c>
      <c r="M131" s="342">
        <v>1.0636896620106291E-2</v>
      </c>
      <c r="N131" s="342">
        <v>1.0636896620106291E-2</v>
      </c>
      <c r="O131" s="342">
        <v>1.4182528826808391E-2</v>
      </c>
      <c r="P131" s="342">
        <v>1.4182528826808391E-2</v>
      </c>
      <c r="Q131" s="342">
        <v>1.4182528826808391E-2</v>
      </c>
      <c r="R131" s="342">
        <v>1.4182528826808391E-2</v>
      </c>
      <c r="S131" s="342">
        <v>1.4182528826808391E-2</v>
      </c>
      <c r="T131" s="342">
        <v>3.5456322067020971E-2</v>
      </c>
      <c r="U131" s="342">
        <v>3.900195427372307E-2</v>
      </c>
      <c r="V131" s="342">
        <v>3.900195427372307E-2</v>
      </c>
      <c r="W131" s="342">
        <v>3.900195427372307E-2</v>
      </c>
      <c r="X131" s="342">
        <v>3.900195427372307E-2</v>
      </c>
      <c r="Y131" s="342">
        <v>3.900195427372307E-2</v>
      </c>
      <c r="Z131" s="342">
        <v>4.2547586480425163E-2</v>
      </c>
      <c r="AA131" s="342">
        <v>4.2547586480425163E-2</v>
      </c>
    </row>
    <row r="132" spans="1:27" x14ac:dyDescent="0.2">
      <c r="A132" s="212" t="s">
        <v>1277</v>
      </c>
      <c r="B132" s="215">
        <v>3.3817100997130915E-2</v>
      </c>
      <c r="C132" s="215">
        <v>3.3817100997130915E-2</v>
      </c>
      <c r="D132" s="215">
        <v>3.3817100997130915E-2</v>
      </c>
      <c r="E132" s="215">
        <v>3.3817100997130915E-2</v>
      </c>
      <c r="F132" s="215">
        <v>3.3817100997130915E-2</v>
      </c>
      <c r="G132" s="215">
        <v>3.3817100997130915E-2</v>
      </c>
      <c r="H132" s="215">
        <v>3.3817100997130915E-2</v>
      </c>
      <c r="I132" s="215">
        <v>3.3817100997130915E-2</v>
      </c>
      <c r="J132" s="215">
        <v>3.3817100997130915E-2</v>
      </c>
      <c r="K132" s="215">
        <v>3.3817100997130915E-2</v>
      </c>
      <c r="L132" s="215">
        <v>3.3817100997130915E-2</v>
      </c>
      <c r="M132" s="196">
        <v>5.0725651495696356E-2</v>
      </c>
      <c r="N132" s="196">
        <v>5.0725651495696356E-2</v>
      </c>
      <c r="O132" s="196">
        <v>6.7634201994261831E-2</v>
      </c>
      <c r="P132" s="196">
        <v>6.7634201994261831E-2</v>
      </c>
      <c r="Q132" s="196">
        <v>6.7634201994261831E-2</v>
      </c>
      <c r="R132" s="196">
        <v>6.7634201994261831E-2</v>
      </c>
      <c r="S132" s="196">
        <v>6.7634201994261831E-2</v>
      </c>
      <c r="T132" s="196">
        <v>0.16908550498565456</v>
      </c>
      <c r="U132" s="196">
        <v>0.18599405548422004</v>
      </c>
      <c r="V132" s="196">
        <v>0.18599405548422004</v>
      </c>
      <c r="W132" s="196">
        <v>0.18599405548422004</v>
      </c>
      <c r="X132" s="196">
        <v>0.18599405548422004</v>
      </c>
      <c r="Y132" s="196">
        <v>0.18599405548422004</v>
      </c>
      <c r="Z132" s="196">
        <v>0.20290260598278542</v>
      </c>
      <c r="AA132" s="196">
        <v>0.20290260598278542</v>
      </c>
    </row>
    <row r="133" spans="1:27" x14ac:dyDescent="0.2">
      <c r="A133" s="206" t="s">
        <v>1278</v>
      </c>
      <c r="B133" s="216">
        <v>8.6404251204992306E-3</v>
      </c>
      <c r="C133" s="216">
        <v>8.6404251204992306E-3</v>
      </c>
      <c r="D133" s="216">
        <v>8.6404251204992306E-3</v>
      </c>
      <c r="E133" s="216">
        <v>8.6404251204992306E-3</v>
      </c>
      <c r="F133" s="216">
        <v>8.6404251204992306E-3</v>
      </c>
      <c r="G133" s="216">
        <v>8.6404251204992306E-3</v>
      </c>
      <c r="H133" s="216">
        <v>8.6404251204992306E-3</v>
      </c>
      <c r="I133" s="216">
        <v>8.6404251204992306E-3</v>
      </c>
      <c r="J133" s="216">
        <v>8.6404251204992306E-3</v>
      </c>
      <c r="K133" s="216">
        <v>8.6404251204992306E-3</v>
      </c>
      <c r="L133" s="216">
        <v>8.6404251204992306E-3</v>
      </c>
      <c r="M133" s="216">
        <v>1.2960637680748845E-2</v>
      </c>
      <c r="N133" s="216">
        <v>1.2960637680748845E-2</v>
      </c>
      <c r="O133" s="216">
        <v>1.7280850240998461E-2</v>
      </c>
      <c r="P133" s="216">
        <v>1.7280850240998461E-2</v>
      </c>
      <c r="Q133" s="216">
        <v>1.7280850240998461E-2</v>
      </c>
      <c r="R133" s="216">
        <v>1.7280850240998461E-2</v>
      </c>
      <c r="S133" s="216">
        <v>1.7280850240998461E-2</v>
      </c>
      <c r="T133" s="216">
        <v>4.3202125602496144E-2</v>
      </c>
      <c r="U133" s="216">
        <v>4.7522338162745766E-2</v>
      </c>
      <c r="V133" s="216">
        <v>4.7522338162745766E-2</v>
      </c>
      <c r="W133" s="216">
        <v>4.7522338162745766E-2</v>
      </c>
      <c r="X133" s="216">
        <v>4.7522338162745766E-2</v>
      </c>
      <c r="Y133" s="216">
        <v>4.7522338162745766E-2</v>
      </c>
      <c r="Z133" s="195">
        <v>5.184255072299538E-2</v>
      </c>
      <c r="AA133" s="195">
        <v>5.184255072299538E-2</v>
      </c>
    </row>
    <row r="134" spans="1:27" x14ac:dyDescent="0.2">
      <c r="A134" s="207" t="s">
        <v>1279</v>
      </c>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1"/>
    </row>
    <row r="135" spans="1:27" x14ac:dyDescent="0.2">
      <c r="A135" s="213" t="s">
        <v>1280</v>
      </c>
      <c r="B135" s="193" t="s">
        <v>1234</v>
      </c>
      <c r="C135" s="193" t="s">
        <v>1234</v>
      </c>
      <c r="D135" s="193" t="s">
        <v>1234</v>
      </c>
      <c r="E135" s="193" t="s">
        <v>1234</v>
      </c>
      <c r="F135" s="193" t="s">
        <v>1234</v>
      </c>
      <c r="G135" s="193" t="s">
        <v>1234</v>
      </c>
      <c r="H135" s="193" t="s">
        <v>1234</v>
      </c>
      <c r="I135" s="193" t="s">
        <v>1234</v>
      </c>
      <c r="J135" s="193" t="s">
        <v>1234</v>
      </c>
      <c r="K135" s="193" t="s">
        <v>1234</v>
      </c>
      <c r="L135" s="193" t="s">
        <v>1234</v>
      </c>
      <c r="M135" s="193" t="s">
        <v>1234</v>
      </c>
      <c r="N135" s="193" t="s">
        <v>1234</v>
      </c>
      <c r="O135" s="193" t="s">
        <v>1234</v>
      </c>
      <c r="P135" s="193" t="s">
        <v>1234</v>
      </c>
      <c r="Q135" s="193" t="s">
        <v>1234</v>
      </c>
      <c r="R135" s="193" t="s">
        <v>1234</v>
      </c>
      <c r="S135" s="193" t="s">
        <v>1234</v>
      </c>
      <c r="T135" s="193" t="s">
        <v>1234</v>
      </c>
      <c r="U135" s="193" t="s">
        <v>1234</v>
      </c>
      <c r="V135" s="193" t="s">
        <v>1234</v>
      </c>
      <c r="W135" s="193" t="s">
        <v>1234</v>
      </c>
      <c r="X135" s="193" t="s">
        <v>1234</v>
      </c>
      <c r="Y135" s="193" t="s">
        <v>1234</v>
      </c>
      <c r="Z135" s="193" t="s">
        <v>1234</v>
      </c>
      <c r="AA135" s="193" t="s">
        <v>1234</v>
      </c>
    </row>
    <row r="136" spans="1:27" x14ac:dyDescent="0.2">
      <c r="A136" s="212" t="s">
        <v>1281</v>
      </c>
      <c r="B136" s="196" t="s">
        <v>1234</v>
      </c>
      <c r="C136" s="196" t="s">
        <v>1234</v>
      </c>
      <c r="D136" s="196" t="s">
        <v>1234</v>
      </c>
      <c r="E136" s="196" t="s">
        <v>1234</v>
      </c>
      <c r="F136" s="196" t="s">
        <v>1234</v>
      </c>
      <c r="G136" s="196" t="s">
        <v>1234</v>
      </c>
      <c r="H136" s="196" t="s">
        <v>1234</v>
      </c>
      <c r="I136" s="196" t="s">
        <v>1234</v>
      </c>
      <c r="J136" s="196" t="s">
        <v>1234</v>
      </c>
      <c r="K136" s="196" t="s">
        <v>1234</v>
      </c>
      <c r="L136" s="196" t="s">
        <v>1234</v>
      </c>
      <c r="M136" s="196" t="s">
        <v>1234</v>
      </c>
      <c r="N136" s="196" t="s">
        <v>1234</v>
      </c>
      <c r="O136" s="196" t="s">
        <v>1234</v>
      </c>
      <c r="P136" s="196" t="s">
        <v>1234</v>
      </c>
      <c r="Q136" s="196" t="s">
        <v>1234</v>
      </c>
      <c r="R136" s="196" t="s">
        <v>1234</v>
      </c>
      <c r="S136" s="196" t="s">
        <v>1234</v>
      </c>
      <c r="T136" s="196" t="s">
        <v>1234</v>
      </c>
      <c r="U136" s="196" t="s">
        <v>1234</v>
      </c>
      <c r="V136" s="196" t="s">
        <v>1234</v>
      </c>
      <c r="W136" s="196" t="s">
        <v>1234</v>
      </c>
      <c r="X136" s="196" t="s">
        <v>1234</v>
      </c>
      <c r="Y136" s="196" t="s">
        <v>1234</v>
      </c>
      <c r="Z136" s="196" t="s">
        <v>1234</v>
      </c>
      <c r="AA136" s="196" t="s">
        <v>1234</v>
      </c>
    </row>
    <row r="137" spans="1:27" x14ac:dyDescent="0.2">
      <c r="A137" s="206" t="s">
        <v>1282</v>
      </c>
      <c r="B137" s="238">
        <v>3.9376566887784703E-3</v>
      </c>
      <c r="C137" s="238">
        <v>3.9376566887784703E-3</v>
      </c>
      <c r="D137" s="238">
        <v>3.9376566887784703E-3</v>
      </c>
      <c r="E137" s="238">
        <v>3.9376566887784703E-3</v>
      </c>
      <c r="F137" s="238">
        <v>3.9376566887784703E-3</v>
      </c>
      <c r="G137" s="238">
        <v>3.9376566887784703E-3</v>
      </c>
      <c r="H137" s="238">
        <v>3.9376566887784703E-3</v>
      </c>
      <c r="I137" s="238">
        <v>3.9376566887784703E-3</v>
      </c>
      <c r="J137" s="238">
        <v>3.9376566887784703E-3</v>
      </c>
      <c r="K137" s="238">
        <v>3.9376566887784703E-3</v>
      </c>
      <c r="L137" s="238">
        <v>3.9376566887784703E-3</v>
      </c>
      <c r="M137" s="238">
        <v>5.9064850331677059E-3</v>
      </c>
      <c r="N137" s="238">
        <v>5.9064850331677059E-3</v>
      </c>
      <c r="O137" s="238">
        <v>7.8753133775569407E-3</v>
      </c>
      <c r="P137" s="238">
        <v>7.8753133775569407E-3</v>
      </c>
      <c r="Q137" s="238">
        <v>7.8753133775569407E-3</v>
      </c>
      <c r="R137" s="238">
        <v>7.8753133775569407E-3</v>
      </c>
      <c r="S137" s="238">
        <v>7.8753133775569407E-3</v>
      </c>
      <c r="T137" s="216">
        <v>1.9688283443892354E-2</v>
      </c>
      <c r="U137" s="216">
        <v>2.1657111788281589E-2</v>
      </c>
      <c r="V137" s="216">
        <v>2.1657111788281589E-2</v>
      </c>
      <c r="W137" s="216">
        <v>2.1657111788281589E-2</v>
      </c>
      <c r="X137" s="216">
        <v>2.1657111788281589E-2</v>
      </c>
      <c r="Y137" s="216">
        <v>2.1657111788281589E-2</v>
      </c>
      <c r="Z137" s="216">
        <v>2.3625940132670824E-2</v>
      </c>
      <c r="AA137" s="216">
        <v>2.3625940132670824E-2</v>
      </c>
    </row>
    <row r="138" spans="1:27" ht="12.75" x14ac:dyDescent="0.2">
      <c r="A138" s="175" t="s">
        <v>1715</v>
      </c>
      <c r="B138" s="223"/>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c r="AA138" s="224"/>
    </row>
    <row r="139" spans="1:27" s="185" customFormat="1" x14ac:dyDescent="0.2">
      <c r="A139" s="349" t="s">
        <v>758</v>
      </c>
      <c r="B139" s="226">
        <v>50.21243498950701</v>
      </c>
      <c r="C139" s="226">
        <v>49.463801004911119</v>
      </c>
      <c r="D139" s="226">
        <v>48.194476749024439</v>
      </c>
      <c r="E139" s="226">
        <v>47.654109598211114</v>
      </c>
      <c r="F139" s="226">
        <v>48.028241526041967</v>
      </c>
      <c r="G139" s="226">
        <v>44.319148191886306</v>
      </c>
      <c r="H139" s="226">
        <v>41.780453250263044</v>
      </c>
      <c r="I139" s="226">
        <v>40.562805329398628</v>
      </c>
      <c r="J139" s="226">
        <v>39.130352928566282</v>
      </c>
      <c r="K139" s="226">
        <v>36.798061052258653</v>
      </c>
      <c r="L139" s="226">
        <v>35.157008700977052</v>
      </c>
      <c r="M139" s="226">
        <v>33.721103955568644</v>
      </c>
      <c r="N139" s="226">
        <v>32.038001254488911</v>
      </c>
      <c r="O139" s="226">
        <v>29.522832168491199</v>
      </c>
      <c r="P139" s="226">
        <v>28.319311053514969</v>
      </c>
      <c r="Q139" s="226">
        <v>26.881704973229223</v>
      </c>
      <c r="R139" s="226">
        <v>25.414686246061699</v>
      </c>
      <c r="S139" s="226">
        <v>20.965191771635492</v>
      </c>
      <c r="T139" s="226">
        <v>19.663720795947992</v>
      </c>
      <c r="U139" s="226">
        <v>17.889516631775717</v>
      </c>
      <c r="V139" s="226">
        <v>15.983734923706303</v>
      </c>
      <c r="W139" s="226">
        <v>14.61054145735158</v>
      </c>
      <c r="X139" s="226">
        <v>14.476839433173854</v>
      </c>
      <c r="Y139" s="226">
        <v>14.378914059791057</v>
      </c>
      <c r="Z139" s="226">
        <v>13.988041505317904</v>
      </c>
      <c r="AA139" s="226">
        <v>13.988041505317904</v>
      </c>
    </row>
    <row r="140" spans="1:27" x14ac:dyDescent="0.2">
      <c r="A140" s="186" t="s">
        <v>1173</v>
      </c>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8"/>
    </row>
    <row r="141" spans="1:27" x14ac:dyDescent="0.2">
      <c r="A141" s="207" t="s">
        <v>1185</v>
      </c>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1"/>
    </row>
    <row r="142" spans="1:27" x14ac:dyDescent="0.2">
      <c r="A142" s="213" t="s">
        <v>1285</v>
      </c>
      <c r="B142" s="193">
        <v>7.7303324170877934</v>
      </c>
      <c r="C142" s="193">
        <v>7.4473342461884346</v>
      </c>
      <c r="D142" s="193">
        <v>7.0175324318094212</v>
      </c>
      <c r="E142" s="193">
        <v>6.9033304971113845</v>
      </c>
      <c r="F142" s="193">
        <v>7.103853925240788</v>
      </c>
      <c r="G142" s="193">
        <v>5.9203798237414764</v>
      </c>
      <c r="H142" s="193">
        <v>5.758429381851732</v>
      </c>
      <c r="I142" s="193">
        <v>5.1864592457131033</v>
      </c>
      <c r="J142" s="193">
        <v>4.8194970485449051</v>
      </c>
      <c r="K142" s="193">
        <v>4.4055567207155208</v>
      </c>
      <c r="L142" s="193">
        <v>4.064738572607026</v>
      </c>
      <c r="M142" s="193">
        <v>3.7910420073892115</v>
      </c>
      <c r="N142" s="193">
        <v>3.3782508954079979</v>
      </c>
      <c r="O142" s="193">
        <v>3.0885627085513661</v>
      </c>
      <c r="P142" s="193">
        <v>2.8399642506310601</v>
      </c>
      <c r="Q142" s="193">
        <v>2.5657657036615418</v>
      </c>
      <c r="R142" s="193">
        <v>2.3027252097075372</v>
      </c>
      <c r="S142" s="193">
        <v>2.0471801431704981</v>
      </c>
      <c r="T142" s="193">
        <v>1.8056902767977212</v>
      </c>
      <c r="U142" s="193">
        <v>1.5612712186972975</v>
      </c>
      <c r="V142" s="193">
        <v>1.3354204250825352</v>
      </c>
      <c r="W142" s="193">
        <v>1.12394416540356</v>
      </c>
      <c r="X142" s="193">
        <v>1.0817824890572267</v>
      </c>
      <c r="Y142" s="193">
        <v>1.0316424749066386</v>
      </c>
      <c r="Z142" s="193">
        <v>0.98006702759461584</v>
      </c>
      <c r="AA142" s="193">
        <v>0.98006702759461584</v>
      </c>
    </row>
    <row r="143" spans="1:27" x14ac:dyDescent="0.2">
      <c r="A143" s="212" t="s">
        <v>1286</v>
      </c>
      <c r="B143" s="196">
        <v>6.6691412048815994</v>
      </c>
      <c r="C143" s="196">
        <v>6.2941814571291479</v>
      </c>
      <c r="D143" s="196">
        <v>6.0984677732818682</v>
      </c>
      <c r="E143" s="196">
        <v>5.8909210309517386</v>
      </c>
      <c r="F143" s="196">
        <v>5.6943899716692146</v>
      </c>
      <c r="G143" s="196">
        <v>5.2178582693919786</v>
      </c>
      <c r="H143" s="196">
        <v>4.7353964465523477</v>
      </c>
      <c r="I143" s="196">
        <v>4.5267914942814098</v>
      </c>
      <c r="J143" s="196">
        <v>4.3087207551977835</v>
      </c>
      <c r="K143" s="196">
        <v>4.0422084142749544</v>
      </c>
      <c r="L143" s="196">
        <v>3.8007855298314039</v>
      </c>
      <c r="M143" s="196">
        <v>3.5758990679559206</v>
      </c>
      <c r="N143" s="196">
        <v>3.2868201389525091</v>
      </c>
      <c r="O143" s="196">
        <v>2.9735408037235413</v>
      </c>
      <c r="P143" s="196">
        <v>2.8990737761220315</v>
      </c>
      <c r="Q143" s="196">
        <v>2.6325087278728692</v>
      </c>
      <c r="R143" s="196">
        <v>2.4878798067464998</v>
      </c>
      <c r="S143" s="196">
        <v>2.3098139446467609</v>
      </c>
      <c r="T143" s="196">
        <v>2.1544701106164568</v>
      </c>
      <c r="U143" s="196">
        <v>1.9429035214580617</v>
      </c>
      <c r="V143" s="196">
        <v>1.8047624042982005</v>
      </c>
      <c r="W143" s="196">
        <v>1.6144840770235542</v>
      </c>
      <c r="X143" s="196">
        <v>1.5827315547411009</v>
      </c>
      <c r="Y143" s="196">
        <v>1.5061080972144294</v>
      </c>
      <c r="Z143" s="196">
        <v>1.4539574365955954</v>
      </c>
      <c r="AA143" s="196">
        <v>1.4539574365955954</v>
      </c>
    </row>
    <row r="144" spans="1:27" x14ac:dyDescent="0.2">
      <c r="A144" s="212" t="s">
        <v>1287</v>
      </c>
      <c r="B144" s="196">
        <v>0.7932173415606083</v>
      </c>
      <c r="C144" s="196">
        <v>0.80717035250716851</v>
      </c>
      <c r="D144" s="196">
        <v>0.79929675822409918</v>
      </c>
      <c r="E144" s="196">
        <v>0.8483149852349503</v>
      </c>
      <c r="F144" s="196">
        <v>0.92605406707133964</v>
      </c>
      <c r="G144" s="196">
        <v>0.94391182237828897</v>
      </c>
      <c r="H144" s="196">
        <v>0.93644167137241241</v>
      </c>
      <c r="I144" s="196">
        <v>1.0259439526083511</v>
      </c>
      <c r="J144" s="196">
        <v>0.99277185826697256</v>
      </c>
      <c r="K144" s="196">
        <v>0.96650742671211654</v>
      </c>
      <c r="L144" s="196">
        <v>1.0191785217956169</v>
      </c>
      <c r="M144" s="196">
        <v>1.0546250450666517</v>
      </c>
      <c r="N144" s="196">
        <v>1.094682568072582</v>
      </c>
      <c r="O144" s="196">
        <v>1.1287304180628466</v>
      </c>
      <c r="P144" s="196">
        <v>1.1927293325055484</v>
      </c>
      <c r="Q144" s="196">
        <v>1.1996815831667627</v>
      </c>
      <c r="R144" s="196">
        <v>1.2306645422152627</v>
      </c>
      <c r="S144" s="196">
        <v>1.2541857163849879</v>
      </c>
      <c r="T144" s="196">
        <v>1.2773344662421828</v>
      </c>
      <c r="U144" s="196">
        <v>1.3070128837986033</v>
      </c>
      <c r="V144" s="196">
        <v>1.3359500447511408</v>
      </c>
      <c r="W144" s="196">
        <v>1.3641644049722432</v>
      </c>
      <c r="X144" s="196">
        <v>1.3609159293531115</v>
      </c>
      <c r="Y144" s="196">
        <v>1.3584739910655339</v>
      </c>
      <c r="Z144" s="196">
        <v>1.357527914403261</v>
      </c>
      <c r="AA144" s="196">
        <v>1.357527914403261</v>
      </c>
    </row>
    <row r="145" spans="1:27" x14ac:dyDescent="0.2">
      <c r="A145" s="212" t="s">
        <v>1288</v>
      </c>
      <c r="B145" s="196">
        <v>1.7143896321349035</v>
      </c>
      <c r="C145" s="196">
        <v>1.4076960927398285</v>
      </c>
      <c r="D145" s="196">
        <v>1.4715729160781583</v>
      </c>
      <c r="E145" s="196">
        <v>1.5439682775549679</v>
      </c>
      <c r="F145" s="196">
        <v>1.6730234026505424</v>
      </c>
      <c r="G145" s="196">
        <v>1.6865179692558432</v>
      </c>
      <c r="H145" s="196">
        <v>1.585779406650089</v>
      </c>
      <c r="I145" s="196">
        <v>1.7825602685253605</v>
      </c>
      <c r="J145" s="196">
        <v>1.6144526175819671</v>
      </c>
      <c r="K145" s="196">
        <v>1.5710875294106521</v>
      </c>
      <c r="L145" s="196">
        <v>1.5900035978045979</v>
      </c>
      <c r="M145" s="196">
        <v>1.6401292752712007</v>
      </c>
      <c r="N145" s="196">
        <v>1.6219435234169177</v>
      </c>
      <c r="O145" s="196">
        <v>1.4161163166289941</v>
      </c>
      <c r="P145" s="196">
        <v>1.3863921217921673</v>
      </c>
      <c r="Q145" s="196">
        <v>1.2931633513875551</v>
      </c>
      <c r="R145" s="196">
        <v>1.2020056407251849</v>
      </c>
      <c r="S145" s="196">
        <v>1.0946465054579015</v>
      </c>
      <c r="T145" s="196">
        <v>0.96188824486082392</v>
      </c>
      <c r="U145" s="196">
        <v>0.82941979739924543</v>
      </c>
      <c r="V145" s="196">
        <v>0.68712115004393315</v>
      </c>
      <c r="W145" s="196">
        <v>0.54066485528578989</v>
      </c>
      <c r="X145" s="196">
        <v>0.55081340413520485</v>
      </c>
      <c r="Y145" s="196">
        <v>0.56170004439405197</v>
      </c>
      <c r="Z145" s="196">
        <v>0.57418768563570255</v>
      </c>
      <c r="AA145" s="196">
        <v>0.57418768563570255</v>
      </c>
    </row>
    <row r="146" spans="1:27" x14ac:dyDescent="0.2">
      <c r="A146" s="212" t="s">
        <v>1289</v>
      </c>
      <c r="B146" s="196">
        <v>7.2128512191013918</v>
      </c>
      <c r="C146" s="196">
        <v>6.8049020209146995</v>
      </c>
      <c r="D146" s="196">
        <v>6.745165057036826</v>
      </c>
      <c r="E146" s="196">
        <v>6.3586844838830068</v>
      </c>
      <c r="F146" s="196">
        <v>5.8070931662361573</v>
      </c>
      <c r="G146" s="196">
        <v>5.3007467086856801</v>
      </c>
      <c r="H146" s="196">
        <v>4.8165196504587247</v>
      </c>
      <c r="I146" s="196">
        <v>4.5305270579333055</v>
      </c>
      <c r="J146" s="196">
        <v>4.2529551010552478</v>
      </c>
      <c r="K146" s="196">
        <v>4.3176251585807126</v>
      </c>
      <c r="L146" s="196">
        <v>4.1033473535995126</v>
      </c>
      <c r="M146" s="196">
        <v>3.7888874852063794</v>
      </c>
      <c r="N146" s="196">
        <v>3.4618243326842277</v>
      </c>
      <c r="O146" s="196">
        <v>3.0967466939880826</v>
      </c>
      <c r="P146" s="196">
        <v>2.9436724748974794</v>
      </c>
      <c r="Q146" s="196">
        <v>3.2179628596312537</v>
      </c>
      <c r="R146" s="196">
        <v>3.1493420000952432</v>
      </c>
      <c r="S146" s="196">
        <v>2.8862771847658641</v>
      </c>
      <c r="T146" s="196">
        <v>2.7135689527962485</v>
      </c>
      <c r="U146" s="196">
        <v>2.471440447619198</v>
      </c>
      <c r="V146" s="196">
        <v>1.8834720593524017</v>
      </c>
      <c r="W146" s="196">
        <v>1.7312197982373574</v>
      </c>
      <c r="X146" s="196">
        <v>1.6368589418595338</v>
      </c>
      <c r="Y146" s="196">
        <v>1.533192795415631</v>
      </c>
      <c r="Z146" s="196">
        <v>1.434422498550235</v>
      </c>
      <c r="AA146" s="196">
        <v>1.434422498550235</v>
      </c>
    </row>
    <row r="147" spans="1:27" x14ac:dyDescent="0.2">
      <c r="A147" s="212" t="s">
        <v>1290</v>
      </c>
      <c r="B147" s="196">
        <v>1.9396887902963234</v>
      </c>
      <c r="C147" s="196">
        <v>2.2823396900536093</v>
      </c>
      <c r="D147" s="196">
        <v>1.9358160963608511</v>
      </c>
      <c r="E147" s="196">
        <v>1.8823357823480067</v>
      </c>
      <c r="F147" s="196">
        <v>1.9727260180019142</v>
      </c>
      <c r="G147" s="196">
        <v>1.8581339654880389</v>
      </c>
      <c r="H147" s="196">
        <v>1.5856371091557941</v>
      </c>
      <c r="I147" s="196">
        <v>1.6873958029685345</v>
      </c>
      <c r="J147" s="196">
        <v>1.4577409886002075</v>
      </c>
      <c r="K147" s="196">
        <v>1.3860262290584195</v>
      </c>
      <c r="L147" s="196">
        <v>1.2945360347621435</v>
      </c>
      <c r="M147" s="196">
        <v>1.2413692009080501</v>
      </c>
      <c r="N147" s="196">
        <v>1.1753649697837756</v>
      </c>
      <c r="O147" s="196">
        <v>1.0858727263490644</v>
      </c>
      <c r="P147" s="196">
        <v>1.0919307553721895</v>
      </c>
      <c r="Q147" s="196">
        <v>0.93436892146642936</v>
      </c>
      <c r="R147" s="196">
        <v>0.8548172315068826</v>
      </c>
      <c r="S147" s="196">
        <v>0.79128340114090201</v>
      </c>
      <c r="T147" s="196">
        <v>0.73576934793747684</v>
      </c>
      <c r="U147" s="196">
        <v>0.67687248073867112</v>
      </c>
      <c r="V147" s="196">
        <v>0.62149442856809856</v>
      </c>
      <c r="W147" s="196">
        <v>0.57074511470277267</v>
      </c>
      <c r="X147" s="196">
        <v>0.55874501965482792</v>
      </c>
      <c r="Y147" s="196">
        <v>0.55123044490978501</v>
      </c>
      <c r="Z147" s="196">
        <v>0.5450753802790379</v>
      </c>
      <c r="AA147" s="196">
        <v>0.5450753802790379</v>
      </c>
    </row>
    <row r="148" spans="1:27" x14ac:dyDescent="0.2">
      <c r="A148" s="212" t="s">
        <v>1291</v>
      </c>
      <c r="B148" s="196">
        <v>9.7528507817850454E-2</v>
      </c>
      <c r="C148" s="196">
        <v>0.10077893203373876</v>
      </c>
      <c r="D148" s="196">
        <v>0.10689301104543017</v>
      </c>
      <c r="E148" s="196">
        <v>0.11978463636793245</v>
      </c>
      <c r="F148" s="196">
        <v>0.13612272956681248</v>
      </c>
      <c r="G148" s="196">
        <v>0.1444931850948922</v>
      </c>
      <c r="H148" s="196">
        <v>0.14862263481618271</v>
      </c>
      <c r="I148" s="196">
        <v>0.17094905048455034</v>
      </c>
      <c r="J148" s="196">
        <v>0.1697753746286515</v>
      </c>
      <c r="K148" s="196">
        <v>0.17443761875504743</v>
      </c>
      <c r="L148" s="196">
        <v>0.19665419617165747</v>
      </c>
      <c r="M148" s="196">
        <v>0.20645456611009405</v>
      </c>
      <c r="N148" s="196">
        <v>0.2224736020413382</v>
      </c>
      <c r="O148" s="196">
        <v>0.23032039431931164</v>
      </c>
      <c r="P148" s="196">
        <v>0.24944831667716127</v>
      </c>
      <c r="Q148" s="196">
        <v>0.26297685296951218</v>
      </c>
      <c r="R148" s="196">
        <v>0.27758546236586001</v>
      </c>
      <c r="S148" s="196">
        <v>0.29106405403537211</v>
      </c>
      <c r="T148" s="196">
        <v>0.30271568042016272</v>
      </c>
      <c r="U148" s="196">
        <v>0.31319633791808771</v>
      </c>
      <c r="V148" s="196">
        <v>0.32409024191645824</v>
      </c>
      <c r="W148" s="196">
        <v>0.33606669247864468</v>
      </c>
      <c r="X148" s="196">
        <v>0.3427203980681261</v>
      </c>
      <c r="Y148" s="196">
        <v>0.35017208465759653</v>
      </c>
      <c r="Z148" s="196">
        <v>0.35469596205597331</v>
      </c>
      <c r="AA148" s="196">
        <v>0.35469596205597331</v>
      </c>
    </row>
    <row r="149" spans="1:27" x14ac:dyDescent="0.2">
      <c r="A149" s="206" t="s">
        <v>1292</v>
      </c>
      <c r="B149" s="195">
        <v>0.22439237758667399</v>
      </c>
      <c r="C149" s="195">
        <v>0.23119446727020374</v>
      </c>
      <c r="D149" s="195">
        <v>0.22164757805628935</v>
      </c>
      <c r="E149" s="195">
        <v>0.22729782969947643</v>
      </c>
      <c r="F149" s="195">
        <v>0.22293675497975426</v>
      </c>
      <c r="G149" s="195">
        <v>0.20422517992522368</v>
      </c>
      <c r="H149" s="195">
        <v>0.21471563813244132</v>
      </c>
      <c r="I149" s="195">
        <v>0.22188226929586358</v>
      </c>
      <c r="J149" s="195">
        <v>0.20685878017472636</v>
      </c>
      <c r="K149" s="195">
        <v>0.20608151556973073</v>
      </c>
      <c r="L149" s="195">
        <v>0.20263009900797294</v>
      </c>
      <c r="M149" s="195">
        <v>0.19696359842285266</v>
      </c>
      <c r="N149" s="195">
        <v>0.1928035866976604</v>
      </c>
      <c r="O149" s="195">
        <v>0.19306243940741349</v>
      </c>
      <c r="P149" s="195">
        <v>0.20101848655849455</v>
      </c>
      <c r="Q149" s="195">
        <v>0.17619660286134659</v>
      </c>
      <c r="R149" s="195">
        <v>0.17622839426947673</v>
      </c>
      <c r="S149" s="195">
        <v>0.17365611611387841</v>
      </c>
      <c r="T149" s="195">
        <v>0.1620433505520924</v>
      </c>
      <c r="U149" s="195">
        <v>0.15354487133073719</v>
      </c>
      <c r="V149" s="195">
        <v>0.15237042606683532</v>
      </c>
      <c r="W149" s="195">
        <v>0.14929640884336939</v>
      </c>
      <c r="X149" s="195">
        <v>0.14260749657278304</v>
      </c>
      <c r="Y149" s="195">
        <v>0.13749529685030554</v>
      </c>
      <c r="Z149" s="195">
        <v>0.13219503328684473</v>
      </c>
      <c r="AA149" s="195">
        <v>0.13219503328684473</v>
      </c>
    </row>
    <row r="150" spans="1:27" x14ac:dyDescent="0.2">
      <c r="A150" s="207" t="s">
        <v>1293</v>
      </c>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1"/>
    </row>
    <row r="151" spans="1:27" x14ac:dyDescent="0.2">
      <c r="A151" s="240" t="s">
        <v>1294</v>
      </c>
      <c r="B151" s="193">
        <v>4.0554427506480595</v>
      </c>
      <c r="C151" s="193">
        <v>4.0912999765104088</v>
      </c>
      <c r="D151" s="193">
        <v>4.0277251894329336</v>
      </c>
      <c r="E151" s="193">
        <v>4.0216784660872431</v>
      </c>
      <c r="F151" s="193">
        <v>4.1132716955101474</v>
      </c>
      <c r="G151" s="193">
        <v>3.8036847655316661</v>
      </c>
      <c r="H151" s="193">
        <v>3.5739857021781019</v>
      </c>
      <c r="I151" s="193">
        <v>3.4349056332387509</v>
      </c>
      <c r="J151" s="193">
        <v>3.3676001665017363</v>
      </c>
      <c r="K151" s="193">
        <v>3.0422885240129114</v>
      </c>
      <c r="L151" s="193">
        <v>2.8532984933428445</v>
      </c>
      <c r="M151" s="193">
        <v>2.6977615223813487</v>
      </c>
      <c r="N151" s="193">
        <v>2.5443723602794317</v>
      </c>
      <c r="O151" s="193">
        <v>2.267937508699994</v>
      </c>
      <c r="P151" s="193">
        <v>2.0851806026743045</v>
      </c>
      <c r="Q151" s="193">
        <v>1.8731798952396483</v>
      </c>
      <c r="R151" s="193">
        <v>1.6711880678246522</v>
      </c>
      <c r="S151" s="193">
        <v>0.91199621409734533</v>
      </c>
      <c r="T151" s="193">
        <v>0.7712767703312331</v>
      </c>
      <c r="U151" s="193">
        <v>0.583917130612438</v>
      </c>
      <c r="V151" s="193">
        <v>0.41463328571027641</v>
      </c>
      <c r="W151" s="193">
        <v>0.27090539001042019</v>
      </c>
      <c r="X151" s="193">
        <v>0.27042170692103107</v>
      </c>
      <c r="Y151" s="193">
        <v>0.29220695275193154</v>
      </c>
      <c r="Z151" s="193">
        <v>0.2442704671223607</v>
      </c>
      <c r="AA151" s="193">
        <v>0.2442704671223607</v>
      </c>
    </row>
    <row r="152" spans="1:27" x14ac:dyDescent="0.2">
      <c r="A152" s="212" t="s">
        <v>1295</v>
      </c>
      <c r="B152" s="196">
        <v>7.8690647742704467</v>
      </c>
      <c r="C152" s="196">
        <v>7.9386411066921987</v>
      </c>
      <c r="D152" s="196">
        <v>7.8152824136264023</v>
      </c>
      <c r="E152" s="196">
        <v>7.7996981716734046</v>
      </c>
      <c r="F152" s="196">
        <v>7.9729691278207975</v>
      </c>
      <c r="G152" s="196">
        <v>7.3683801309902259</v>
      </c>
      <c r="H152" s="196">
        <v>6.9186711950478221</v>
      </c>
      <c r="I152" s="196">
        <v>6.6442853904193617</v>
      </c>
      <c r="J152" s="196">
        <v>6.508346684253187</v>
      </c>
      <c r="K152" s="196">
        <v>5.8736735132798632</v>
      </c>
      <c r="L152" s="196">
        <v>5.5023024445984214</v>
      </c>
      <c r="M152" s="196">
        <v>5.1951534227154301</v>
      </c>
      <c r="N152" s="196">
        <v>4.8916638441582805</v>
      </c>
      <c r="O152" s="196">
        <v>4.3514529726784099</v>
      </c>
      <c r="P152" s="196">
        <v>3.9908464886754995</v>
      </c>
      <c r="Q152" s="196">
        <v>3.5737520247099837</v>
      </c>
      <c r="R152" s="196">
        <v>3.1751190455670582</v>
      </c>
      <c r="S152" s="196">
        <v>1.7228210582860966</v>
      </c>
      <c r="T152" s="196">
        <v>1.4448569080736406</v>
      </c>
      <c r="U152" s="196">
        <v>1.0793469981044206</v>
      </c>
      <c r="V152" s="196">
        <v>0.74768080636371237</v>
      </c>
      <c r="W152" s="196">
        <v>0.45928533331821558</v>
      </c>
      <c r="X152" s="196">
        <v>0.458465310693631</v>
      </c>
      <c r="Y152" s="196">
        <v>0.49539940009096467</v>
      </c>
      <c r="Z152" s="196">
        <v>0.41412923865329637</v>
      </c>
      <c r="AA152" s="196">
        <v>0.41412923865329637</v>
      </c>
    </row>
    <row r="153" spans="1:27" x14ac:dyDescent="0.2">
      <c r="A153" s="212" t="s">
        <v>1296</v>
      </c>
      <c r="B153" s="196">
        <v>0.18962350343578313</v>
      </c>
      <c r="C153" s="196">
        <v>0.19130010774499703</v>
      </c>
      <c r="D153" s="196">
        <v>0.18832749178243949</v>
      </c>
      <c r="E153" s="196">
        <v>0.19771583224203509</v>
      </c>
      <c r="F153" s="196">
        <v>0.21318269212353666</v>
      </c>
      <c r="G153" s="196">
        <v>0.20843854671458156</v>
      </c>
      <c r="H153" s="196">
        <v>0.20776140384517336</v>
      </c>
      <c r="I153" s="196">
        <v>0.21260548663258225</v>
      </c>
      <c r="J153" s="196">
        <v>0.22287040627036769</v>
      </c>
      <c r="K153" s="196">
        <v>0.21631725133536586</v>
      </c>
      <c r="L153" s="196">
        <v>0.21918273762113175</v>
      </c>
      <c r="M153" s="196">
        <v>0.22534333149846819</v>
      </c>
      <c r="N153" s="196">
        <v>0.23288024237439867</v>
      </c>
      <c r="O153" s="196">
        <v>0.22955869304120691</v>
      </c>
      <c r="P153" s="196">
        <v>0.23605534689905286</v>
      </c>
      <c r="Q153" s="196">
        <v>0.24054215620617386</v>
      </c>
      <c r="R153" s="196">
        <v>0.24790624023535726</v>
      </c>
      <c r="S153" s="196">
        <v>0.16013712247920975</v>
      </c>
      <c r="T153" s="196">
        <v>0.16590233019235368</v>
      </c>
      <c r="U153" s="196">
        <v>0.16207016271244035</v>
      </c>
      <c r="V153" s="196">
        <v>0.16217190167208406</v>
      </c>
      <c r="W153" s="196">
        <v>0.17933188094004821</v>
      </c>
      <c r="X153" s="196">
        <v>0.17901169610284098</v>
      </c>
      <c r="Y153" s="196">
        <v>0.1934329267451935</v>
      </c>
      <c r="Z153" s="196">
        <v>0.16170029812058076</v>
      </c>
      <c r="AA153" s="196">
        <v>0.16170029812058076</v>
      </c>
    </row>
    <row r="154" spans="1:27" x14ac:dyDescent="0.2">
      <c r="A154" s="212" t="s">
        <v>1297</v>
      </c>
      <c r="B154" s="196">
        <v>3.9924333047587357</v>
      </c>
      <c r="C154" s="196">
        <v>4.0277334166210528</v>
      </c>
      <c r="D154" s="196">
        <v>3.9651463915100478</v>
      </c>
      <c r="E154" s="196">
        <v>3.9506873935099716</v>
      </c>
      <c r="F154" s="196">
        <v>4.0310204706625443</v>
      </c>
      <c r="G154" s="196">
        <v>3.7176842646561754</v>
      </c>
      <c r="H154" s="196">
        <v>3.4827030266192645</v>
      </c>
      <c r="I154" s="196">
        <v>3.3358034159685062</v>
      </c>
      <c r="J154" s="196">
        <v>3.257747129578938</v>
      </c>
      <c r="K154" s="196">
        <v>2.9298749523825198</v>
      </c>
      <c r="L154" s="196">
        <v>2.7335285174566692</v>
      </c>
      <c r="M154" s="196">
        <v>2.5685929483312262</v>
      </c>
      <c r="N154" s="196">
        <v>2.4046496041518659</v>
      </c>
      <c r="O154" s="196">
        <v>2.1240625544277227</v>
      </c>
      <c r="P154" s="196">
        <v>1.9309149380275374</v>
      </c>
      <c r="Q154" s="196">
        <v>1.7095429673444744</v>
      </c>
      <c r="R154" s="196">
        <v>1.4959052770840975</v>
      </c>
      <c r="S154" s="196">
        <v>0.79448411348070525</v>
      </c>
      <c r="T154" s="196">
        <v>0.64509299970142586</v>
      </c>
      <c r="U154" s="196">
        <v>0.45630961884845023</v>
      </c>
      <c r="V154" s="196">
        <v>0.28260449323629683</v>
      </c>
      <c r="W154" s="196">
        <v>0.12010563605651758</v>
      </c>
      <c r="X154" s="196">
        <v>0.11989119563841212</v>
      </c>
      <c r="Y154" s="196">
        <v>0.12954966277731716</v>
      </c>
      <c r="Z154" s="196">
        <v>0.10829706940281006</v>
      </c>
      <c r="AA154" s="196">
        <v>0.10829706940281006</v>
      </c>
    </row>
    <row r="155" spans="1:27" x14ac:dyDescent="0.2">
      <c r="A155" s="212" t="s">
        <v>1298</v>
      </c>
      <c r="B155" s="215">
        <v>1.8827616690578662E-2</v>
      </c>
      <c r="C155" s="215">
        <v>1.8994085839727896E-2</v>
      </c>
      <c r="D155" s="215">
        <v>1.8698936383583172E-2</v>
      </c>
      <c r="E155" s="215">
        <v>1.8836318344232935E-2</v>
      </c>
      <c r="F155" s="215">
        <v>1.9452885384652997E-2</v>
      </c>
      <c r="G155" s="215">
        <v>1.8182098191720904E-2</v>
      </c>
      <c r="H155" s="215">
        <v>1.7287868287784978E-2</v>
      </c>
      <c r="I155" s="215">
        <v>1.683631034970659E-2</v>
      </c>
      <c r="J155" s="215">
        <v>1.6753295151845114E-2</v>
      </c>
      <c r="K155" s="215">
        <v>1.539113511347028E-2</v>
      </c>
      <c r="L155" s="215">
        <v>1.4713942232505805E-2</v>
      </c>
      <c r="M155" s="215">
        <v>1.4221669820926241E-2</v>
      </c>
      <c r="N155" s="215">
        <v>1.3761196859678578E-2</v>
      </c>
      <c r="O155" s="215">
        <v>1.264213836112197E-2</v>
      </c>
      <c r="P155" s="215">
        <v>1.205101956506449E-2</v>
      </c>
      <c r="Q155" s="215">
        <v>1.1313143342702947E-2</v>
      </c>
      <c r="R155" s="215">
        <v>1.0662952265678458E-2</v>
      </c>
      <c r="S155" s="215">
        <v>6.2441019177087538E-3</v>
      </c>
      <c r="T155" s="215">
        <v>5.8020032412102965E-3</v>
      </c>
      <c r="U155" s="215">
        <v>5.016490819424368E-3</v>
      </c>
      <c r="V155" s="214">
        <v>4.3677386172694156E-3</v>
      </c>
      <c r="W155" s="214">
        <v>3.0275488396965858E-3</v>
      </c>
      <c r="X155" s="214">
        <v>3.0966967583968994E-3</v>
      </c>
      <c r="Y155" s="214">
        <v>2.6677765700274356E-3</v>
      </c>
      <c r="Z155" s="214">
        <v>2.1912552101215222E-3</v>
      </c>
      <c r="AA155" s="214">
        <v>2.1912552101215222E-3</v>
      </c>
    </row>
    <row r="156" spans="1:27" x14ac:dyDescent="0.2">
      <c r="A156" s="212" t="s">
        <v>1299</v>
      </c>
      <c r="B156" s="196">
        <v>3.0213220728397996</v>
      </c>
      <c r="C156" s="196">
        <v>3.0480358583941403</v>
      </c>
      <c r="D156" s="196">
        <v>3.0006723720170809</v>
      </c>
      <c r="E156" s="196">
        <v>2.987936012070779</v>
      </c>
      <c r="F156" s="196">
        <v>3.0466539646002135</v>
      </c>
      <c r="G156" s="196">
        <v>2.8077274686684475</v>
      </c>
      <c r="H156" s="196">
        <v>2.628035511844689</v>
      </c>
      <c r="I156" s="196">
        <v>2.5147621448226229</v>
      </c>
      <c r="J156" s="196">
        <v>2.4532036949448934</v>
      </c>
      <c r="K156" s="196">
        <v>2.2034761487418475</v>
      </c>
      <c r="L156" s="196">
        <v>2.052717420019146</v>
      </c>
      <c r="M156" s="196">
        <v>1.9254080943846434</v>
      </c>
      <c r="N156" s="196">
        <v>1.7986129224870342</v>
      </c>
      <c r="O156" s="196">
        <v>1.5844934056226347</v>
      </c>
      <c r="P156" s="196">
        <v>1.4355357806913089</v>
      </c>
      <c r="Q156" s="196">
        <v>1.2653382367571762</v>
      </c>
      <c r="R156" s="196">
        <v>1.1005466926700067</v>
      </c>
      <c r="S156" s="196">
        <v>0.57943595162894124</v>
      </c>
      <c r="T156" s="196">
        <v>0.46409198503134486</v>
      </c>
      <c r="U156" s="196">
        <v>0.32031349341568388</v>
      </c>
      <c r="V156" s="196">
        <v>0.18737258201433715</v>
      </c>
      <c r="W156" s="196">
        <v>5.9968924954665437E-2</v>
      </c>
      <c r="X156" s="196">
        <v>5.9861854530971384E-2</v>
      </c>
      <c r="Y156" s="196">
        <v>6.4684341718479754E-2</v>
      </c>
      <c r="Z156" s="196">
        <v>5.4072889841499529E-2</v>
      </c>
      <c r="AA156" s="196">
        <v>5.4072889841499529E-2</v>
      </c>
    </row>
    <row r="157" spans="1:27" x14ac:dyDescent="0.2">
      <c r="A157" s="212" t="s">
        <v>1300</v>
      </c>
      <c r="B157" s="215">
        <v>6.0329136398089393E-3</v>
      </c>
      <c r="C157" s="215">
        <v>6.0862551761815351E-3</v>
      </c>
      <c r="D157" s="215">
        <v>5.9916807428360384E-3</v>
      </c>
      <c r="E157" s="215">
        <v>6.5110877054278026E-3</v>
      </c>
      <c r="F157" s="215">
        <v>7.258416145363036E-3</v>
      </c>
      <c r="G157" s="215">
        <v>7.3295729650957233E-3</v>
      </c>
      <c r="H157" s="215">
        <v>7.5376907290982615E-3</v>
      </c>
      <c r="I157" s="215">
        <v>7.9507730564879996E-3</v>
      </c>
      <c r="J157" s="215">
        <v>8.583444079378293E-3</v>
      </c>
      <c r="K157" s="215">
        <v>8.5725414006916651E-3</v>
      </c>
      <c r="L157" s="215">
        <v>8.9307779974878657E-3</v>
      </c>
      <c r="M157" s="215">
        <v>9.4333524451067491E-3</v>
      </c>
      <c r="N157" s="215">
        <v>1.0008833304526283E-2</v>
      </c>
      <c r="O157" s="215">
        <v>1.012234001439884E-2</v>
      </c>
      <c r="P157" s="215">
        <v>1.0672322675655061E-2</v>
      </c>
      <c r="Q157" s="215">
        <v>1.1143699145756011E-2</v>
      </c>
      <c r="R157" s="215">
        <v>1.1761601781251891E-2</v>
      </c>
      <c r="S157" s="215">
        <v>7.7762705059065927E-3</v>
      </c>
      <c r="T157" s="215">
        <v>8.241430094947249E-3</v>
      </c>
      <c r="U157" s="215">
        <v>8.2319845575934882E-3</v>
      </c>
      <c r="V157" s="215">
        <v>8.4181884673107908E-3</v>
      </c>
      <c r="W157" s="215">
        <v>7.0063812487904647E-3</v>
      </c>
      <c r="X157" s="215">
        <v>7.1664039954502066E-3</v>
      </c>
      <c r="Y157" s="215">
        <v>6.1737929678042707E-3</v>
      </c>
      <c r="Z157" s="215">
        <v>5.071022873093755E-3</v>
      </c>
      <c r="AA157" s="215">
        <v>5.071022873093755E-3</v>
      </c>
    </row>
    <row r="158" spans="1:27" x14ac:dyDescent="0.2">
      <c r="A158" s="212" t="s">
        <v>1301</v>
      </c>
      <c r="B158" s="196">
        <v>0.23282125620061209</v>
      </c>
      <c r="C158" s="196">
        <v>0.23487980439927841</v>
      </c>
      <c r="D158" s="196">
        <v>0.23123000271296471</v>
      </c>
      <c r="E158" s="196">
        <v>0.24189711289868338</v>
      </c>
      <c r="F158" s="196">
        <v>0.25989293100918437</v>
      </c>
      <c r="G158" s="196">
        <v>0.25320269270613538</v>
      </c>
      <c r="H158" s="196">
        <v>0.25147646415304714</v>
      </c>
      <c r="I158" s="196">
        <v>0.2564150577059951</v>
      </c>
      <c r="J158" s="196">
        <v>0.26782579096220316</v>
      </c>
      <c r="K158" s="196">
        <v>0.25900991670201684</v>
      </c>
      <c r="L158" s="196">
        <v>0.26148759903288488</v>
      </c>
      <c r="M158" s="196">
        <v>0.26785712456646904</v>
      </c>
      <c r="N158" s="196">
        <v>0.27580304863811494</v>
      </c>
      <c r="O158" s="196">
        <v>0.27087082463938783</v>
      </c>
      <c r="P158" s="196">
        <v>0.2775099095331735</v>
      </c>
      <c r="Q158" s="196">
        <v>0.28173842073719901</v>
      </c>
      <c r="R158" s="196">
        <v>0.28928543514672295</v>
      </c>
      <c r="S158" s="196">
        <v>0.18616984173117795</v>
      </c>
      <c r="T158" s="196">
        <v>0.19215067555735357</v>
      </c>
      <c r="U158" s="196">
        <v>0.18700727141375126</v>
      </c>
      <c r="V158" s="196">
        <v>0.18641929425080009</v>
      </c>
      <c r="W158" s="196">
        <v>0.20536496738957585</v>
      </c>
      <c r="X158" s="196">
        <v>0.20499830225280818</v>
      </c>
      <c r="Y158" s="196">
        <v>0.22151302091331429</v>
      </c>
      <c r="Z158" s="196">
        <v>0.18517385908375811</v>
      </c>
      <c r="AA158" s="196">
        <v>0.18517385908375811</v>
      </c>
    </row>
    <row r="159" spans="1:27" x14ac:dyDescent="0.2">
      <c r="A159" s="212" t="s">
        <v>1302</v>
      </c>
      <c r="B159" s="215">
        <v>1.7172257203983823E-2</v>
      </c>
      <c r="C159" s="215">
        <v>1.7324090072301637E-2</v>
      </c>
      <c r="D159" s="215">
        <v>1.7054890711711863E-2</v>
      </c>
      <c r="E159" s="215">
        <v>2.0231070380218083E-2</v>
      </c>
      <c r="F159" s="215">
        <v>2.4321630548114419E-2</v>
      </c>
      <c r="G159" s="215">
        <v>2.6232497859014832E-2</v>
      </c>
      <c r="H159" s="215">
        <v>2.8591430062226416E-2</v>
      </c>
      <c r="I159" s="215">
        <v>3.1759195714837492E-2</v>
      </c>
      <c r="J159" s="215">
        <v>3.5914476504303586E-2</v>
      </c>
      <c r="K159" s="215">
        <v>3.7403272830691621E-2</v>
      </c>
      <c r="L159" s="215">
        <v>4.0477257609531782E-2</v>
      </c>
      <c r="M159" s="215">
        <v>4.4265946509714771E-2</v>
      </c>
      <c r="N159" s="215">
        <v>4.8486136635172455E-2</v>
      </c>
      <c r="O159" s="196">
        <v>5.0495163891760814E-2</v>
      </c>
      <c r="P159" s="196">
        <v>5.4701217094282564E-2</v>
      </c>
      <c r="Q159" s="196">
        <v>5.8570740021191212E-2</v>
      </c>
      <c r="R159" s="196">
        <v>6.3280280688918458E-2</v>
      </c>
      <c r="S159" s="215">
        <v>4.2760319365465489E-2</v>
      </c>
      <c r="T159" s="215">
        <v>4.6251475949645939E-2</v>
      </c>
      <c r="U159" s="215">
        <v>4.7089746173826094E-2</v>
      </c>
      <c r="V159" s="215">
        <v>4.9027133627363266E-2</v>
      </c>
      <c r="W159" s="215">
        <v>4.1500223856228043E-2</v>
      </c>
      <c r="X159" s="215">
        <v>4.2448071193198787E-2</v>
      </c>
      <c r="Y159" s="215">
        <v>3.6568633807946838E-2</v>
      </c>
      <c r="Z159" s="215">
        <v>3.0036701820897058E-2</v>
      </c>
      <c r="AA159" s="215">
        <v>3.0036701820897058E-2</v>
      </c>
    </row>
    <row r="160" spans="1:27" x14ac:dyDescent="0.2">
      <c r="A160" s="206" t="s">
        <v>1303</v>
      </c>
      <c r="B160" s="216">
        <v>1.2625097344216627E-2</v>
      </c>
      <c r="C160" s="216">
        <v>1.2736725345113295E-2</v>
      </c>
      <c r="D160" s="216">
        <v>1.2538809131066701E-2</v>
      </c>
      <c r="E160" s="216">
        <v>1.3163883080526673E-2</v>
      </c>
      <c r="F160" s="216">
        <v>1.4193663714652791E-2</v>
      </c>
      <c r="G160" s="216">
        <v>1.3877799401854348E-2</v>
      </c>
      <c r="H160" s="216">
        <v>1.3832715356431064E-2</v>
      </c>
      <c r="I160" s="216">
        <v>1.4155233481169715E-2</v>
      </c>
      <c r="J160" s="216">
        <v>1.4838669908139278E-2</v>
      </c>
      <c r="K160" s="216">
        <v>1.4402362079905579E-2</v>
      </c>
      <c r="L160" s="216">
        <v>1.459314562013567E-2</v>
      </c>
      <c r="M160" s="216">
        <v>1.5003316806672672E-2</v>
      </c>
      <c r="N160" s="216">
        <v>1.5505122921205995E-2</v>
      </c>
      <c r="O160" s="216">
        <v>1.528397478869422E-2</v>
      </c>
      <c r="P160" s="216">
        <v>1.5716520785792953E-2</v>
      </c>
      <c r="Q160" s="216">
        <v>1.6015251709127688E-2</v>
      </c>
      <c r="R160" s="216">
        <v>1.6505551044573293E-2</v>
      </c>
      <c r="S160" s="216">
        <v>1.0661899622624774E-2</v>
      </c>
      <c r="T160" s="216">
        <v>1.1045746072401608E-2</v>
      </c>
      <c r="U160" s="216">
        <v>1.0790601079314652E-2</v>
      </c>
      <c r="V160" s="216">
        <v>1.0797374840193068E-2</v>
      </c>
      <c r="W160" s="216">
        <v>1.1939883045965959E-2</v>
      </c>
      <c r="X160" s="216">
        <v>1.191856519947204E-2</v>
      </c>
      <c r="Y160" s="216">
        <v>1.2878728034691245E-2</v>
      </c>
      <c r="Z160" s="216">
        <v>1.0765975564060486E-2</v>
      </c>
      <c r="AA160" s="216">
        <v>1.0765975564060486E-2</v>
      </c>
    </row>
    <row r="161" spans="1:27" x14ac:dyDescent="0.2">
      <c r="A161" s="207" t="s">
        <v>1304</v>
      </c>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1"/>
    </row>
    <row r="162" spans="1:27" x14ac:dyDescent="0.2">
      <c r="A162" s="213" t="s">
        <v>1305</v>
      </c>
      <c r="B162" s="193">
        <v>1.684336178312078</v>
      </c>
      <c r="C162" s="193">
        <v>1.7252140082256706</v>
      </c>
      <c r="D162" s="193">
        <v>1.749454389641689</v>
      </c>
      <c r="E162" s="193">
        <v>1.7665353054631554</v>
      </c>
      <c r="F162" s="193">
        <v>1.7971576324443297</v>
      </c>
      <c r="G162" s="193">
        <v>1.8311986555489648</v>
      </c>
      <c r="H162" s="193">
        <v>1.8654461965122973</v>
      </c>
      <c r="I162" s="193">
        <v>1.8978346880302921</v>
      </c>
      <c r="J162" s="193">
        <v>1.9365018316076044</v>
      </c>
      <c r="K162" s="193">
        <v>1.9704267709117176</v>
      </c>
      <c r="L162" s="193">
        <v>2.0051154181186184</v>
      </c>
      <c r="M162" s="193">
        <v>2.0401960514770749</v>
      </c>
      <c r="N162" s="193">
        <v>2.0708847099109398</v>
      </c>
      <c r="O162" s="193">
        <v>2.0974879988354056</v>
      </c>
      <c r="P162" s="193">
        <v>2.1215553384484389</v>
      </c>
      <c r="Q162" s="193">
        <v>2.1635615444120728</v>
      </c>
      <c r="R162" s="193">
        <v>2.1821133703229139</v>
      </c>
      <c r="S162" s="193">
        <v>2.2107391098830291</v>
      </c>
      <c r="T162" s="193">
        <v>2.2194229214921659</v>
      </c>
      <c r="U162" s="193">
        <v>2.2257027667625331</v>
      </c>
      <c r="V162" s="193">
        <v>2.232619893684173</v>
      </c>
      <c r="W162" s="193">
        <v>2.2465777062926584</v>
      </c>
      <c r="X162" s="193">
        <v>2.2612258503376954</v>
      </c>
      <c r="Y162" s="193">
        <v>2.2761024199914561</v>
      </c>
      <c r="Z162" s="193">
        <v>2.2910409343936426</v>
      </c>
      <c r="AA162" s="193">
        <v>2.2910409343936426</v>
      </c>
    </row>
    <row r="163" spans="1:27" x14ac:dyDescent="0.2">
      <c r="A163" s="206" t="s">
        <v>1306</v>
      </c>
      <c r="B163" s="195">
        <v>1.2507956888995513</v>
      </c>
      <c r="C163" s="195">
        <v>1.2842541614136598</v>
      </c>
      <c r="D163" s="195">
        <v>1.297039476011322</v>
      </c>
      <c r="E163" s="195">
        <v>1.3125548739276705</v>
      </c>
      <c r="F163" s="195">
        <v>1.3300402671709659</v>
      </c>
      <c r="G163" s="195">
        <v>1.3606608345012872</v>
      </c>
      <c r="H163" s="195">
        <v>1.3832298602124236</v>
      </c>
      <c r="I163" s="195">
        <v>1.402881518271482</v>
      </c>
      <c r="J163" s="195">
        <v>1.4799359649080355</v>
      </c>
      <c r="K163" s="195">
        <v>1.4709036374169828</v>
      </c>
      <c r="L163" s="195">
        <v>1.4688115001334765</v>
      </c>
      <c r="M163" s="195">
        <v>1.4638705070080085</v>
      </c>
      <c r="N163" s="195">
        <v>1.4798267391123996</v>
      </c>
      <c r="O163" s="195">
        <v>1.5043651985782687</v>
      </c>
      <c r="P163" s="195">
        <v>1.5019268520247899</v>
      </c>
      <c r="Q163" s="195">
        <v>1.517438599721747</v>
      </c>
      <c r="R163" s="195">
        <v>1.5351163314483605</v>
      </c>
      <c r="S163" s="195">
        <v>1.5463098696052497</v>
      </c>
      <c r="T163" s="195">
        <v>1.5918828587073173</v>
      </c>
      <c r="U163" s="195">
        <v>1.5527348173063897</v>
      </c>
      <c r="V163" s="195">
        <v>1.5427247925906464</v>
      </c>
      <c r="W163" s="195">
        <v>1.5468837964080262</v>
      </c>
      <c r="X163" s="195">
        <v>1.5571748880169101</v>
      </c>
      <c r="Y163" s="195">
        <v>1.5625213362809343</v>
      </c>
      <c r="Z163" s="195">
        <v>1.5755248216837614</v>
      </c>
      <c r="AA163" s="195">
        <v>1.5755248216837614</v>
      </c>
    </row>
    <row r="164" spans="1:27" x14ac:dyDescent="0.2">
      <c r="A164" s="186" t="s">
        <v>1307</v>
      </c>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8"/>
    </row>
    <row r="165" spans="1:27" x14ac:dyDescent="0.2">
      <c r="A165" s="207" t="s">
        <v>1308</v>
      </c>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1"/>
    </row>
    <row r="166" spans="1:27" x14ac:dyDescent="0.2">
      <c r="A166" s="213" t="s">
        <v>1309</v>
      </c>
      <c r="B166" s="342">
        <v>2.6227144930406853E-2</v>
      </c>
      <c r="C166" s="342">
        <v>2.4677806199143473E-2</v>
      </c>
      <c r="D166" s="342">
        <v>2.4692889855460386E-2</v>
      </c>
      <c r="E166" s="342">
        <v>2.5799830224839403E-2</v>
      </c>
      <c r="F166" s="342">
        <v>2.778842836188437E-2</v>
      </c>
      <c r="G166" s="342">
        <v>2.7825762494646682E-2</v>
      </c>
      <c r="H166" s="342">
        <v>2.7088885604925055E-2</v>
      </c>
      <c r="I166" s="342">
        <v>2.9690080192719487E-2</v>
      </c>
      <c r="J166" s="342">
        <v>2.8328828822269808E-2</v>
      </c>
      <c r="K166" s="342">
        <v>2.791468106531049E-2</v>
      </c>
      <c r="L166" s="342">
        <v>2.912520698608137E-2</v>
      </c>
      <c r="M166" s="342">
        <v>3.0532237114561028E-2</v>
      </c>
      <c r="N166" s="342">
        <v>3.1490257628479658E-2</v>
      </c>
      <c r="O166" s="342">
        <v>3.0686295968950752E-2</v>
      </c>
      <c r="P166" s="342">
        <v>3.2173605594218418E-2</v>
      </c>
      <c r="Q166" s="342">
        <v>3.2294024839400429E-2</v>
      </c>
      <c r="R166" s="342">
        <v>3.2924371670235542E-2</v>
      </c>
      <c r="S166" s="342">
        <v>3.3364492205567454E-2</v>
      </c>
      <c r="T166" s="342">
        <v>3.3544662730192722E-2</v>
      </c>
      <c r="U166" s="342">
        <v>3.3838169014989296E-2</v>
      </c>
      <c r="V166" s="342">
        <v>3.4114591600642397E-2</v>
      </c>
      <c r="W166" s="342">
        <v>3.4367485904710927E-2</v>
      </c>
      <c r="X166" s="342">
        <v>3.4603352066381161E-2</v>
      </c>
      <c r="Y166" s="342">
        <v>3.4815078822269807E-2</v>
      </c>
      <c r="Z166" s="342">
        <v>3.5121307601713066E-2</v>
      </c>
      <c r="AA166" s="342">
        <v>3.5121307601713066E-2</v>
      </c>
    </row>
    <row r="167" spans="1:27" x14ac:dyDescent="0.2">
      <c r="A167" s="206" t="s">
        <v>1310</v>
      </c>
      <c r="B167" s="195">
        <v>8.766266658765437E-2</v>
      </c>
      <c r="C167" s="195">
        <v>8.8437758292506344E-2</v>
      </c>
      <c r="D167" s="195">
        <v>8.7063522307529548E-2</v>
      </c>
      <c r="E167" s="195">
        <v>9.1403738286081115E-2</v>
      </c>
      <c r="F167" s="195">
        <v>9.8554044848206276E-2</v>
      </c>
      <c r="G167" s="195">
        <v>9.6360833407149751E-2</v>
      </c>
      <c r="H167" s="195">
        <v>9.6047791255108483E-2</v>
      </c>
      <c r="I167" s="195">
        <v>9.8287203599155964E-2</v>
      </c>
      <c r="J167" s="195">
        <v>0.10303266084180726</v>
      </c>
      <c r="K167" s="195">
        <v>0.100003146959005</v>
      </c>
      <c r="L167" s="195">
        <v>0.10132785705205345</v>
      </c>
      <c r="M167" s="195">
        <v>0.10417589053559145</v>
      </c>
      <c r="N167" s="195">
        <v>0.10766019334218582</v>
      </c>
      <c r="O167" s="195">
        <v>0.1061246459734566</v>
      </c>
      <c r="P167" s="195">
        <v>0.10912803949143692</v>
      </c>
      <c r="Q167" s="195">
        <v>0.11120228483131236</v>
      </c>
      <c r="R167" s="195">
        <v>0.11460669004098827</v>
      </c>
      <c r="S167" s="195">
        <v>0.1147912546059397</v>
      </c>
      <c r="T167" s="195">
        <v>0.11759403962887605</v>
      </c>
      <c r="U167" s="195">
        <v>0.11824559919825388</v>
      </c>
      <c r="V167" s="195">
        <v>0.11912669623467056</v>
      </c>
      <c r="W167" s="195">
        <v>0.1201870329658124</v>
      </c>
      <c r="X167" s="195">
        <v>0.12113285532773246</v>
      </c>
      <c r="Y167" s="195">
        <v>0.12179624433113778</v>
      </c>
      <c r="Z167" s="195">
        <v>0.12288930614987834</v>
      </c>
      <c r="AA167" s="195">
        <v>0.12288930614987834</v>
      </c>
    </row>
    <row r="168" spans="1:27" x14ac:dyDescent="0.2">
      <c r="A168" s="207" t="s">
        <v>1224</v>
      </c>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1"/>
    </row>
    <row r="169" spans="1:27" x14ac:dyDescent="0.2">
      <c r="A169" s="213" t="s">
        <v>1311</v>
      </c>
      <c r="B169" s="193">
        <v>1.3665062732781419</v>
      </c>
      <c r="C169" s="193">
        <v>1.3785885851478932</v>
      </c>
      <c r="D169" s="193">
        <v>1.3571666712644315</v>
      </c>
      <c r="E169" s="193">
        <v>1.4248229791653826</v>
      </c>
      <c r="F169" s="193">
        <v>1.5362836402808628</v>
      </c>
      <c r="G169" s="193">
        <v>1.5020953442879226</v>
      </c>
      <c r="H169" s="193">
        <v>1.4972155695649265</v>
      </c>
      <c r="I169" s="193">
        <v>1.5321240561044902</v>
      </c>
      <c r="J169" s="193">
        <v>1.6060973601811133</v>
      </c>
      <c r="K169" s="193">
        <v>1.558872584949196</v>
      </c>
      <c r="L169" s="193">
        <v>1.5795224775761276</v>
      </c>
      <c r="M169" s="193">
        <v>1.6239182936430434</v>
      </c>
      <c r="N169" s="193">
        <v>1.6782324256281909</v>
      </c>
      <c r="O169" s="193">
        <v>1.6542959519391767</v>
      </c>
      <c r="P169" s="193">
        <v>1.7011135567782818</v>
      </c>
      <c r="Q169" s="193">
        <v>1.7334473811939872</v>
      </c>
      <c r="R169" s="193">
        <v>1.786516050638935</v>
      </c>
      <c r="S169" s="193">
        <v>1.7893930865043541</v>
      </c>
      <c r="T169" s="193">
        <v>1.8330835589207153</v>
      </c>
      <c r="U169" s="193">
        <v>1.8432402227963109</v>
      </c>
      <c r="V169" s="193">
        <v>1.8569749707169234</v>
      </c>
      <c r="W169" s="193">
        <v>1.8735037491729585</v>
      </c>
      <c r="X169" s="193">
        <v>1.8882474506970064</v>
      </c>
      <c r="Y169" s="193">
        <v>1.8985885145736185</v>
      </c>
      <c r="Z169" s="193">
        <v>1.9156274193951626</v>
      </c>
      <c r="AA169" s="193">
        <v>1.9156274193951626</v>
      </c>
    </row>
    <row r="170" spans="1:27" x14ac:dyDescent="0.2">
      <c r="B170" s="242"/>
      <c r="C170" s="242"/>
      <c r="D170" s="242"/>
      <c r="E170" s="242"/>
      <c r="F170" s="242"/>
      <c r="G170" s="242"/>
      <c r="H170" s="242"/>
      <c r="I170" s="242"/>
      <c r="J170" s="242"/>
      <c r="K170" s="242"/>
      <c r="L170" s="242"/>
      <c r="M170" s="242"/>
      <c r="N170" s="242"/>
      <c r="O170" s="242"/>
      <c r="P170" s="242"/>
      <c r="Q170" s="242"/>
      <c r="R170" s="242"/>
      <c r="S170" s="242"/>
      <c r="T170" s="242"/>
      <c r="U170" s="242"/>
      <c r="V170" s="242"/>
      <c r="W170" s="242"/>
      <c r="X170" s="242"/>
      <c r="Y170" s="242"/>
      <c r="Z170" s="242"/>
      <c r="AA170" s="242"/>
    </row>
    <row r="171" spans="1:27" x14ac:dyDescent="0.2">
      <c r="A171" s="178"/>
      <c r="B171" s="242"/>
      <c r="C171" s="242"/>
      <c r="D171" s="242"/>
      <c r="E171" s="242"/>
      <c r="F171" s="242"/>
      <c r="G171" s="242"/>
      <c r="H171" s="242"/>
      <c r="I171" s="242"/>
      <c r="J171" s="242"/>
      <c r="K171" s="242"/>
      <c r="L171" s="242"/>
      <c r="M171" s="242"/>
      <c r="N171" s="242"/>
      <c r="O171" s="242"/>
      <c r="P171" s="242"/>
      <c r="Q171" s="242"/>
      <c r="R171" s="242"/>
      <c r="S171" s="242"/>
      <c r="T171" s="242"/>
      <c r="U171" s="242"/>
      <c r="V171" s="242"/>
      <c r="W171" s="242"/>
      <c r="X171" s="242"/>
      <c r="Y171" s="242"/>
      <c r="Z171" s="242"/>
      <c r="AA171" s="242"/>
    </row>
    <row r="172" spans="1:27" x14ac:dyDescent="0.2">
      <c r="A172" s="178"/>
      <c r="B172" s="242"/>
      <c r="C172" s="242"/>
      <c r="D172" s="242"/>
      <c r="E172" s="242"/>
      <c r="F172" s="242"/>
      <c r="G172" s="242"/>
      <c r="H172" s="242"/>
      <c r="I172" s="242"/>
      <c r="J172" s="242"/>
      <c r="K172" s="242"/>
      <c r="L172" s="242"/>
      <c r="M172" s="242"/>
      <c r="N172" s="242"/>
      <c r="O172" s="242"/>
      <c r="P172" s="242"/>
      <c r="Q172" s="242"/>
      <c r="R172" s="242"/>
      <c r="S172" s="242"/>
      <c r="T172" s="242"/>
      <c r="U172" s="242"/>
      <c r="V172" s="242"/>
      <c r="W172" s="242"/>
      <c r="X172" s="242"/>
      <c r="Y172" s="242"/>
      <c r="Z172" s="242"/>
      <c r="AA172" s="242"/>
    </row>
    <row r="173" spans="1:27" x14ac:dyDescent="0.2">
      <c r="B173" s="242"/>
      <c r="C173" s="242"/>
      <c r="D173" s="242"/>
      <c r="E173" s="242"/>
      <c r="F173" s="242"/>
      <c r="G173" s="242"/>
      <c r="H173" s="242"/>
      <c r="I173" s="242"/>
      <c r="J173" s="242"/>
      <c r="K173" s="242"/>
      <c r="L173" s="242"/>
      <c r="M173" s="242"/>
      <c r="N173" s="242"/>
      <c r="O173" s="242"/>
      <c r="P173" s="242"/>
      <c r="Q173" s="242"/>
      <c r="R173" s="242"/>
      <c r="S173" s="242"/>
      <c r="T173" s="242"/>
      <c r="U173" s="242"/>
      <c r="V173" s="242"/>
      <c r="W173" s="242"/>
      <c r="X173" s="242"/>
      <c r="Y173" s="242"/>
      <c r="Z173" s="242"/>
      <c r="AA173" s="242"/>
    </row>
    <row r="174" spans="1:27" x14ac:dyDescent="0.2">
      <c r="B174" s="242"/>
      <c r="C174" s="242"/>
      <c r="D174" s="242"/>
      <c r="E174" s="242"/>
      <c r="F174" s="242"/>
      <c r="G174" s="242"/>
      <c r="H174" s="242"/>
      <c r="I174" s="242"/>
      <c r="J174" s="242"/>
      <c r="K174" s="242"/>
      <c r="L174" s="242"/>
      <c r="M174" s="242"/>
      <c r="N174" s="242"/>
      <c r="O174" s="242"/>
      <c r="P174" s="242"/>
      <c r="Q174" s="242"/>
      <c r="R174" s="242"/>
      <c r="S174" s="242"/>
      <c r="T174" s="242"/>
      <c r="U174" s="242"/>
      <c r="V174" s="242"/>
      <c r="W174" s="242"/>
      <c r="X174" s="242"/>
      <c r="Y174" s="242"/>
      <c r="Z174" s="242"/>
      <c r="AA174" s="242"/>
    </row>
    <row r="175" spans="1:27" x14ac:dyDescent="0.2">
      <c r="B175" s="242"/>
      <c r="C175" s="242"/>
      <c r="D175" s="242"/>
      <c r="E175" s="242"/>
      <c r="F175" s="242"/>
      <c r="G175" s="242"/>
      <c r="H175" s="242"/>
      <c r="I175" s="242"/>
      <c r="J175" s="242"/>
      <c r="K175" s="242"/>
      <c r="L175" s="242"/>
      <c r="M175" s="242"/>
      <c r="N175" s="242"/>
      <c r="O175" s="242"/>
      <c r="P175" s="242"/>
      <c r="Q175" s="242"/>
      <c r="R175" s="242"/>
      <c r="S175" s="242"/>
      <c r="T175" s="242"/>
      <c r="U175" s="242"/>
      <c r="V175" s="242"/>
      <c r="W175" s="242"/>
      <c r="X175" s="242"/>
      <c r="Y175" s="242"/>
      <c r="Z175" s="242"/>
      <c r="AA175" s="242"/>
    </row>
    <row r="176" spans="1:27" x14ac:dyDescent="0.2">
      <c r="B176" s="242"/>
      <c r="C176" s="242"/>
      <c r="D176" s="242"/>
      <c r="E176" s="242"/>
      <c r="F176" s="242"/>
      <c r="G176" s="242"/>
      <c r="H176" s="242"/>
      <c r="I176" s="242"/>
      <c r="J176" s="242"/>
      <c r="K176" s="242"/>
      <c r="L176" s="242"/>
      <c r="M176" s="242"/>
      <c r="N176" s="242"/>
      <c r="O176" s="242"/>
      <c r="P176" s="242"/>
      <c r="Q176" s="242"/>
      <c r="R176" s="242"/>
      <c r="S176" s="242"/>
      <c r="T176" s="242"/>
      <c r="U176" s="242"/>
      <c r="V176" s="242"/>
      <c r="W176" s="242"/>
      <c r="X176" s="242"/>
      <c r="Y176" s="242"/>
      <c r="Z176" s="242"/>
      <c r="AA176" s="242"/>
    </row>
    <row r="177" spans="2:27" x14ac:dyDescent="0.2">
      <c r="B177" s="242"/>
      <c r="C177" s="242"/>
      <c r="D177" s="242"/>
      <c r="E177" s="242"/>
      <c r="F177" s="242"/>
      <c r="G177" s="242"/>
      <c r="H177" s="242"/>
      <c r="I177" s="242"/>
      <c r="J177" s="242"/>
      <c r="K177" s="242"/>
      <c r="L177" s="242"/>
      <c r="M177" s="242"/>
      <c r="N177" s="242"/>
      <c r="O177" s="242"/>
      <c r="P177" s="242"/>
      <c r="Q177" s="242"/>
      <c r="R177" s="242"/>
      <c r="S177" s="242"/>
      <c r="T177" s="242"/>
      <c r="U177" s="242"/>
      <c r="V177" s="242"/>
      <c r="W177" s="242"/>
      <c r="X177" s="242"/>
      <c r="Y177" s="242"/>
      <c r="Z177" s="242"/>
      <c r="AA177" s="242"/>
    </row>
    <row r="178" spans="2:27" x14ac:dyDescent="0.2">
      <c r="B178" s="242"/>
      <c r="C178" s="242"/>
      <c r="D178" s="242"/>
      <c r="E178" s="242"/>
      <c r="F178" s="242"/>
      <c r="G178" s="242"/>
      <c r="H178" s="242"/>
      <c r="I178" s="242"/>
      <c r="J178" s="242"/>
      <c r="K178" s="242"/>
      <c r="L178" s="242"/>
      <c r="M178" s="242"/>
      <c r="N178" s="242"/>
      <c r="O178" s="242"/>
      <c r="P178" s="242"/>
      <c r="Q178" s="242"/>
      <c r="R178" s="242"/>
      <c r="S178" s="242"/>
      <c r="T178" s="242"/>
      <c r="U178" s="242"/>
      <c r="V178" s="242"/>
      <c r="W178" s="242"/>
      <c r="X178" s="242"/>
      <c r="Y178" s="242"/>
      <c r="Z178" s="242"/>
      <c r="AA178" s="242"/>
    </row>
    <row r="179" spans="2:27" x14ac:dyDescent="0.2">
      <c r="B179" s="242"/>
      <c r="C179" s="242"/>
      <c r="D179" s="242"/>
      <c r="E179" s="242"/>
      <c r="F179" s="242"/>
      <c r="G179" s="242"/>
      <c r="H179" s="242"/>
      <c r="I179" s="242"/>
      <c r="J179" s="242"/>
      <c r="K179" s="242"/>
      <c r="L179" s="242"/>
      <c r="M179" s="242"/>
      <c r="N179" s="242"/>
      <c r="O179" s="242"/>
      <c r="P179" s="242"/>
      <c r="Q179" s="242"/>
      <c r="R179" s="242"/>
      <c r="S179" s="242"/>
      <c r="T179" s="242"/>
      <c r="U179" s="242"/>
      <c r="V179" s="242"/>
      <c r="W179" s="242"/>
      <c r="X179" s="242"/>
      <c r="Y179" s="242"/>
      <c r="Z179" s="242"/>
      <c r="AA179" s="242"/>
    </row>
  </sheetData>
  <pageMargins left="0.7" right="0.7" top="0.75" bottom="0.75" header="0.3" footer="0.3"/>
  <pageSetup orientation="portrait" verticalDpi="597"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tint="0.79998168889431442"/>
  </sheetPr>
  <dimension ref="A1:AL179"/>
  <sheetViews>
    <sheetView topLeftCell="B1" workbookViewId="0">
      <selection activeCell="E10" sqref="D1:E1048576"/>
    </sheetView>
  </sheetViews>
  <sheetFormatPr defaultRowHeight="15" x14ac:dyDescent="0.25"/>
  <cols>
    <col min="1" max="1" width="20.85546875" hidden="1" customWidth="1"/>
    <col min="2" max="2" width="45.7109375" customWidth="1"/>
    <col min="38" max="38" width="8"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15</v>
      </c>
      <c r="B10" s="8" t="s">
        <v>16</v>
      </c>
    </row>
    <row r="11" spans="1:38" ht="15" customHeight="1" x14ac:dyDescent="0.25">
      <c r="B11" s="4" t="s">
        <v>17</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18</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B15" s="10" t="s">
        <v>6</v>
      </c>
    </row>
    <row r="16" spans="1:38" ht="15" customHeight="1" x14ac:dyDescent="0.25">
      <c r="B16" s="10" t="s">
        <v>7</v>
      </c>
    </row>
    <row r="17" spans="1:38" ht="15" customHeight="1" x14ac:dyDescent="0.25">
      <c r="A17" s="7" t="s">
        <v>19</v>
      </c>
      <c r="B17" s="11" t="s">
        <v>20</v>
      </c>
      <c r="C17" s="12">
        <v>5288.9379879999997</v>
      </c>
      <c r="D17" s="12">
        <v>5543.8110349999997</v>
      </c>
      <c r="E17" s="12">
        <v>5461.4267579999996</v>
      </c>
      <c r="F17" s="12">
        <v>5674.4653319999998</v>
      </c>
      <c r="G17" s="12">
        <v>5815.5126950000003</v>
      </c>
      <c r="H17" s="12">
        <v>5911.1811520000001</v>
      </c>
      <c r="I17" s="12">
        <v>6011.421875</v>
      </c>
      <c r="J17" s="12">
        <v>6122.908203</v>
      </c>
      <c r="K17" s="12">
        <v>6223.2402339999999</v>
      </c>
      <c r="L17" s="12">
        <v>6326.6142579999996</v>
      </c>
      <c r="M17" s="12">
        <v>6443.4946289999998</v>
      </c>
      <c r="N17" s="12">
        <v>6562.8666990000002</v>
      </c>
      <c r="O17" s="12">
        <v>6685.3076170000004</v>
      </c>
      <c r="P17" s="12">
        <v>6812.8076170000004</v>
      </c>
      <c r="Q17" s="12">
        <v>6936.4931640000004</v>
      </c>
      <c r="R17" s="12">
        <v>7066.0903319999998</v>
      </c>
      <c r="S17" s="12">
        <v>7193.9155270000001</v>
      </c>
      <c r="T17" s="12">
        <v>7318.8544920000004</v>
      </c>
      <c r="U17" s="12">
        <v>7442.2724609999996</v>
      </c>
      <c r="V17" s="12">
        <v>7575.9414059999999</v>
      </c>
      <c r="W17" s="12">
        <v>7711.8139650000003</v>
      </c>
      <c r="X17" s="12">
        <v>7842.0039059999999</v>
      </c>
      <c r="Y17" s="12">
        <v>7985.4409180000002</v>
      </c>
      <c r="Z17" s="12">
        <v>8124.0971680000002</v>
      </c>
      <c r="AA17" s="12">
        <v>8265.8046880000002</v>
      </c>
      <c r="AB17" s="12">
        <v>8407.8671880000002</v>
      </c>
      <c r="AC17" s="12">
        <v>8543.7734380000002</v>
      </c>
      <c r="AD17" s="12">
        <v>8685.25</v>
      </c>
      <c r="AE17" s="12">
        <v>8825.6992190000001</v>
      </c>
      <c r="AF17" s="12">
        <v>8967.4501949999994</v>
      </c>
      <c r="AG17" s="12">
        <v>9098.7597659999992</v>
      </c>
      <c r="AH17" s="12">
        <v>9237.4746090000008</v>
      </c>
      <c r="AI17" s="12">
        <v>9370.6542969999991</v>
      </c>
      <c r="AJ17" s="12">
        <v>9502.6367190000001</v>
      </c>
      <c r="AK17" s="12">
        <v>9643.1552730000003</v>
      </c>
      <c r="AL17" s="13">
        <v>1.6916E-2</v>
      </c>
    </row>
    <row r="18" spans="1:38" ht="15" customHeight="1" x14ac:dyDescent="0.25">
      <c r="A18" s="7" t="s">
        <v>21</v>
      </c>
      <c r="B18" s="11" t="s">
        <v>22</v>
      </c>
      <c r="C18" s="12">
        <v>2045.580322</v>
      </c>
      <c r="D18" s="12">
        <v>2030.844971</v>
      </c>
      <c r="E18" s="12">
        <v>2152.0759280000002</v>
      </c>
      <c r="F18" s="12">
        <v>2218.7885740000002</v>
      </c>
      <c r="G18" s="12">
        <v>2269.2590329999998</v>
      </c>
      <c r="H18" s="12">
        <v>2314.055664</v>
      </c>
      <c r="I18" s="12">
        <v>2349.9655760000001</v>
      </c>
      <c r="J18" s="12">
        <v>2379.0334469999998</v>
      </c>
      <c r="K18" s="12">
        <v>2417.5131839999999</v>
      </c>
      <c r="L18" s="12">
        <v>2450.4692380000001</v>
      </c>
      <c r="M18" s="12">
        <v>2480.9262699999999</v>
      </c>
      <c r="N18" s="12">
        <v>2508.499268</v>
      </c>
      <c r="O18" s="12">
        <v>2545.2377929999998</v>
      </c>
      <c r="P18" s="12">
        <v>2573.6323240000002</v>
      </c>
      <c r="Q18" s="12">
        <v>2603.4936520000001</v>
      </c>
      <c r="R18" s="12">
        <v>2637.2170409999999</v>
      </c>
      <c r="S18" s="12">
        <v>2659.9858399999998</v>
      </c>
      <c r="T18" s="12">
        <v>2678.8740229999999</v>
      </c>
      <c r="U18" s="12">
        <v>2711.779297</v>
      </c>
      <c r="V18" s="12">
        <v>2744.4252929999998</v>
      </c>
      <c r="W18" s="12">
        <v>2774.2773440000001</v>
      </c>
      <c r="X18" s="12">
        <v>2806.7170409999999</v>
      </c>
      <c r="Y18" s="12">
        <v>2837.6667480000001</v>
      </c>
      <c r="Z18" s="12">
        <v>2867.0322270000001</v>
      </c>
      <c r="AA18" s="12">
        <v>2904.765625</v>
      </c>
      <c r="AB18" s="12">
        <v>2944.6679690000001</v>
      </c>
      <c r="AC18" s="12">
        <v>2975.7241210000002</v>
      </c>
      <c r="AD18" s="12">
        <v>3011.584961</v>
      </c>
      <c r="AE18" s="12">
        <v>3049.5561520000001</v>
      </c>
      <c r="AF18" s="12">
        <v>3082.3115229999999</v>
      </c>
      <c r="AG18" s="12">
        <v>3122.3647460000002</v>
      </c>
      <c r="AH18" s="12">
        <v>3162.967529</v>
      </c>
      <c r="AI18" s="12">
        <v>3197.5629880000001</v>
      </c>
      <c r="AJ18" s="12">
        <v>3228.4272460000002</v>
      </c>
      <c r="AK18" s="12">
        <v>3265.1142580000001</v>
      </c>
      <c r="AL18" s="13">
        <v>1.4493000000000001E-2</v>
      </c>
    </row>
    <row r="19" spans="1:38" ht="15" customHeight="1" x14ac:dyDescent="0.25">
      <c r="A19" s="7" t="s">
        <v>23</v>
      </c>
      <c r="B19" s="10" t="s">
        <v>24</v>
      </c>
      <c r="C19" s="14">
        <v>7334.5185549999997</v>
      </c>
      <c r="D19" s="14">
        <v>7574.65625</v>
      </c>
      <c r="E19" s="14">
        <v>7613.5029299999997</v>
      </c>
      <c r="F19" s="14">
        <v>7893.2539059999999</v>
      </c>
      <c r="G19" s="14">
        <v>8084.7714839999999</v>
      </c>
      <c r="H19" s="14">
        <v>8225.2363280000009</v>
      </c>
      <c r="I19" s="14">
        <v>8361.3876949999994</v>
      </c>
      <c r="J19" s="14">
        <v>8501.9414059999999</v>
      </c>
      <c r="K19" s="14">
        <v>8640.7539059999999</v>
      </c>
      <c r="L19" s="14">
        <v>8777.0839840000008</v>
      </c>
      <c r="M19" s="14">
        <v>8924.4208980000003</v>
      </c>
      <c r="N19" s="14">
        <v>9071.3662110000005</v>
      </c>
      <c r="O19" s="14">
        <v>9230.5449219999991</v>
      </c>
      <c r="P19" s="14">
        <v>9386.4394530000009</v>
      </c>
      <c r="Q19" s="14">
        <v>9539.9863280000009</v>
      </c>
      <c r="R19" s="14">
        <v>9703.3076170000004</v>
      </c>
      <c r="S19" s="14">
        <v>9853.9013670000004</v>
      </c>
      <c r="T19" s="14">
        <v>9997.7285159999992</v>
      </c>
      <c r="U19" s="14">
        <v>10154.051758</v>
      </c>
      <c r="V19" s="14">
        <v>10320.367188</v>
      </c>
      <c r="W19" s="14">
        <v>10486.091796999999</v>
      </c>
      <c r="X19" s="14">
        <v>10648.720703000001</v>
      </c>
      <c r="Y19" s="14">
        <v>10823.107421999999</v>
      </c>
      <c r="Z19" s="14">
        <v>10991.128906</v>
      </c>
      <c r="AA19" s="14">
        <v>11170.570312</v>
      </c>
      <c r="AB19" s="14">
        <v>11352.535156</v>
      </c>
      <c r="AC19" s="14">
        <v>11519.498046999999</v>
      </c>
      <c r="AD19" s="14">
        <v>11696.834961</v>
      </c>
      <c r="AE19" s="14">
        <v>11875.255859000001</v>
      </c>
      <c r="AF19" s="14">
        <v>12049.761719</v>
      </c>
      <c r="AG19" s="14">
        <v>12221.125</v>
      </c>
      <c r="AH19" s="14">
        <v>12400.442383</v>
      </c>
      <c r="AI19" s="14">
        <v>12568.216796999999</v>
      </c>
      <c r="AJ19" s="14">
        <v>12731.064453000001</v>
      </c>
      <c r="AK19" s="14">
        <v>12908.269531</v>
      </c>
      <c r="AL19" s="15">
        <v>1.6284E-2</v>
      </c>
    </row>
    <row r="21" spans="1:38" ht="15" customHeight="1" x14ac:dyDescent="0.25">
      <c r="B21" s="10" t="s">
        <v>8</v>
      </c>
    </row>
    <row r="22" spans="1:38" ht="15" customHeight="1" x14ac:dyDescent="0.25">
      <c r="B22" s="10" t="s">
        <v>1867</v>
      </c>
    </row>
    <row r="23" spans="1:38" ht="15" customHeight="1" x14ac:dyDescent="0.25">
      <c r="A23" s="7" t="s">
        <v>25</v>
      </c>
      <c r="B23" s="11" t="s">
        <v>26</v>
      </c>
      <c r="C23" s="16">
        <v>11.673769999999999</v>
      </c>
      <c r="D23" s="16">
        <v>12.419774</v>
      </c>
      <c r="E23" s="16">
        <v>11.471807999999999</v>
      </c>
      <c r="F23" s="16">
        <v>11.594818</v>
      </c>
      <c r="G23" s="16">
        <v>12.435618</v>
      </c>
      <c r="H23" s="16">
        <v>12.750909</v>
      </c>
      <c r="I23" s="16">
        <v>13.035876</v>
      </c>
      <c r="J23" s="16">
        <v>13.272093999999999</v>
      </c>
      <c r="K23" s="16">
        <v>13.410634</v>
      </c>
      <c r="L23" s="16">
        <v>13.477383</v>
      </c>
      <c r="M23" s="16">
        <v>13.536187</v>
      </c>
      <c r="N23" s="16">
        <v>13.578403</v>
      </c>
      <c r="O23" s="16">
        <v>13.668303999999999</v>
      </c>
      <c r="P23" s="16">
        <v>13.910195999999999</v>
      </c>
      <c r="Q23" s="16">
        <v>14.007916</v>
      </c>
      <c r="R23" s="16">
        <v>14.209624</v>
      </c>
      <c r="S23" s="16">
        <v>14.471893</v>
      </c>
      <c r="T23" s="16">
        <v>14.704165</v>
      </c>
      <c r="U23" s="16">
        <v>14.882740999999999</v>
      </c>
      <c r="V23" s="16">
        <v>15.107113999999999</v>
      </c>
      <c r="W23" s="16">
        <v>15.343349999999999</v>
      </c>
      <c r="X23" s="16">
        <v>15.438872</v>
      </c>
      <c r="Y23" s="16">
        <v>15.79116</v>
      </c>
      <c r="Z23" s="16">
        <v>15.941803</v>
      </c>
      <c r="AA23" s="16">
        <v>16.062193000000001</v>
      </c>
      <c r="AB23" s="16">
        <v>16.245128999999999</v>
      </c>
      <c r="AC23" s="16">
        <v>16.390620999999999</v>
      </c>
      <c r="AD23" s="16">
        <v>16.580095</v>
      </c>
      <c r="AE23" s="16">
        <v>16.721972999999998</v>
      </c>
      <c r="AF23" s="16">
        <v>16.928087000000001</v>
      </c>
      <c r="AG23" s="16">
        <v>17.060618999999999</v>
      </c>
      <c r="AH23" s="16">
        <v>17.225611000000001</v>
      </c>
      <c r="AI23" s="16">
        <v>17.442698</v>
      </c>
      <c r="AJ23" s="16">
        <v>17.644456999999999</v>
      </c>
      <c r="AK23" s="16">
        <v>17.773993999999998</v>
      </c>
      <c r="AL23" s="13">
        <v>1.0921E-2</v>
      </c>
    </row>
    <row r="24" spans="1:38" ht="15" customHeight="1" x14ac:dyDescent="0.25">
      <c r="A24" s="7" t="s">
        <v>27</v>
      </c>
      <c r="B24" s="11" t="s">
        <v>28</v>
      </c>
      <c r="C24" s="16">
        <v>18.706251000000002</v>
      </c>
      <c r="D24" s="16">
        <v>20.386649999999999</v>
      </c>
      <c r="E24" s="16">
        <v>20.063637</v>
      </c>
      <c r="F24" s="16">
        <v>20.662320999999999</v>
      </c>
      <c r="G24" s="16">
        <v>23.636859999999999</v>
      </c>
      <c r="H24" s="16">
        <v>25.151751999999998</v>
      </c>
      <c r="I24" s="16">
        <v>25.861764999999998</v>
      </c>
      <c r="J24" s="16">
        <v>26.422734999999999</v>
      </c>
      <c r="K24" s="16">
        <v>26.669521</v>
      </c>
      <c r="L24" s="16">
        <v>26.651682000000001</v>
      </c>
      <c r="M24" s="16">
        <v>26.663504</v>
      </c>
      <c r="N24" s="16">
        <v>26.846176</v>
      </c>
      <c r="O24" s="16">
        <v>27.092026000000001</v>
      </c>
      <c r="P24" s="16">
        <v>27.350197000000001</v>
      </c>
      <c r="Q24" s="16">
        <v>27.473517999999999</v>
      </c>
      <c r="R24" s="16">
        <v>27.843057999999999</v>
      </c>
      <c r="S24" s="16">
        <v>27.971295999999999</v>
      </c>
      <c r="T24" s="16">
        <v>28.125167999999999</v>
      </c>
      <c r="U24" s="16">
        <v>28.382989999999999</v>
      </c>
      <c r="V24" s="16">
        <v>28.510023</v>
      </c>
      <c r="W24" s="16">
        <v>28.574776</v>
      </c>
      <c r="X24" s="16">
        <v>29.010411999999999</v>
      </c>
      <c r="Y24" s="16">
        <v>29.128900999999999</v>
      </c>
      <c r="Z24" s="16">
        <v>29.304048999999999</v>
      </c>
      <c r="AA24" s="16">
        <v>29.516062000000002</v>
      </c>
      <c r="AB24" s="16">
        <v>29.681477000000001</v>
      </c>
      <c r="AC24" s="16">
        <v>29.816406000000001</v>
      </c>
      <c r="AD24" s="16">
        <v>29.895797999999999</v>
      </c>
      <c r="AE24" s="16">
        <v>29.97784</v>
      </c>
      <c r="AF24" s="16">
        <v>30.066841</v>
      </c>
      <c r="AG24" s="16">
        <v>29.977432</v>
      </c>
      <c r="AH24" s="16">
        <v>30.144628999999998</v>
      </c>
      <c r="AI24" s="16">
        <v>30.329339999999998</v>
      </c>
      <c r="AJ24" s="16">
        <v>30.395844</v>
      </c>
      <c r="AK24" s="16">
        <v>30.489792000000001</v>
      </c>
      <c r="AL24" s="13">
        <v>1.2272E-2</v>
      </c>
    </row>
    <row r="25" spans="1:38" ht="15" customHeight="1" x14ac:dyDescent="0.25">
      <c r="A25" s="7" t="s">
        <v>29</v>
      </c>
      <c r="B25" s="11" t="s">
        <v>30</v>
      </c>
      <c r="C25" s="16">
        <v>13.740497</v>
      </c>
      <c r="D25" s="16">
        <v>16.010017000000001</v>
      </c>
      <c r="E25" s="16">
        <v>16.615976</v>
      </c>
      <c r="F25" s="16">
        <v>16.866833</v>
      </c>
      <c r="G25" s="16">
        <v>19.598026000000001</v>
      </c>
      <c r="H25" s="16">
        <v>20.703735000000002</v>
      </c>
      <c r="I25" s="16">
        <v>21.017206000000002</v>
      </c>
      <c r="J25" s="16">
        <v>21.276266</v>
      </c>
      <c r="K25" s="16">
        <v>21.606359000000001</v>
      </c>
      <c r="L25" s="16">
        <v>21.856503</v>
      </c>
      <c r="M25" s="16">
        <v>21.949456999999999</v>
      </c>
      <c r="N25" s="16">
        <v>22.228348</v>
      </c>
      <c r="O25" s="16">
        <v>22.533837999999999</v>
      </c>
      <c r="P25" s="16">
        <v>22.886965</v>
      </c>
      <c r="Q25" s="16">
        <v>23.113752000000002</v>
      </c>
      <c r="R25" s="16">
        <v>23.464357</v>
      </c>
      <c r="S25" s="16">
        <v>23.628574</v>
      </c>
      <c r="T25" s="16">
        <v>23.900037999999999</v>
      </c>
      <c r="U25" s="16">
        <v>24.196601999999999</v>
      </c>
      <c r="V25" s="16">
        <v>24.359648</v>
      </c>
      <c r="W25" s="16">
        <v>24.489644999999999</v>
      </c>
      <c r="X25" s="16">
        <v>24.975897</v>
      </c>
      <c r="Y25" s="16">
        <v>25.113636</v>
      </c>
      <c r="Z25" s="16">
        <v>25.324134999999998</v>
      </c>
      <c r="AA25" s="16">
        <v>25.507891000000001</v>
      </c>
      <c r="AB25" s="16">
        <v>25.708742000000001</v>
      </c>
      <c r="AC25" s="16">
        <v>25.729225</v>
      </c>
      <c r="AD25" s="16">
        <v>25.764524000000002</v>
      </c>
      <c r="AE25" s="16">
        <v>25.759836</v>
      </c>
      <c r="AF25" s="16">
        <v>25.826184999999999</v>
      </c>
      <c r="AG25" s="16">
        <v>25.742612999999999</v>
      </c>
      <c r="AH25" s="16">
        <v>25.844432999999999</v>
      </c>
      <c r="AI25" s="16">
        <v>25.941524999999999</v>
      </c>
      <c r="AJ25" s="16">
        <v>25.822447</v>
      </c>
      <c r="AK25" s="16">
        <v>25.881595999999998</v>
      </c>
      <c r="AL25" s="13">
        <v>1.4662E-2</v>
      </c>
    </row>
    <row r="26" spans="1:38" ht="15" customHeight="1" x14ac:dyDescent="0.25">
      <c r="A26" s="7" t="s">
        <v>31</v>
      </c>
      <c r="B26" s="11" t="s">
        <v>32</v>
      </c>
      <c r="C26" s="16">
        <v>4.9955489999999996</v>
      </c>
      <c r="D26" s="16">
        <v>6.6671880000000003</v>
      </c>
      <c r="E26" s="16">
        <v>6.5998900000000003</v>
      </c>
      <c r="F26" s="16">
        <v>7.4933519999999998</v>
      </c>
      <c r="G26" s="16">
        <v>10.523804999999999</v>
      </c>
      <c r="H26" s="16">
        <v>11.927579</v>
      </c>
      <c r="I26" s="16">
        <v>12.658408</v>
      </c>
      <c r="J26" s="16">
        <v>13.253743999999999</v>
      </c>
      <c r="K26" s="16">
        <v>13.345649999999999</v>
      </c>
      <c r="L26" s="16">
        <v>13.362716000000001</v>
      </c>
      <c r="M26" s="16">
        <v>13.594503</v>
      </c>
      <c r="N26" s="16">
        <v>13.799670000000001</v>
      </c>
      <c r="O26" s="16">
        <v>13.957148999999999</v>
      </c>
      <c r="P26" s="16">
        <v>14.255292000000001</v>
      </c>
      <c r="Q26" s="16">
        <v>14.431661999999999</v>
      </c>
      <c r="R26" s="16">
        <v>14.703008000000001</v>
      </c>
      <c r="S26" s="16">
        <v>14.838407</v>
      </c>
      <c r="T26" s="16">
        <v>15.034172</v>
      </c>
      <c r="U26" s="16">
        <v>15.199439999999999</v>
      </c>
      <c r="V26" s="16">
        <v>15.370957000000001</v>
      </c>
      <c r="W26" s="16">
        <v>15.422413000000001</v>
      </c>
      <c r="X26" s="16">
        <v>15.793283000000001</v>
      </c>
      <c r="Y26" s="16">
        <v>15.929212</v>
      </c>
      <c r="Z26" s="16">
        <v>16.115061000000001</v>
      </c>
      <c r="AA26" s="16">
        <v>16.271705999999998</v>
      </c>
      <c r="AB26" s="16">
        <v>16.428661000000002</v>
      </c>
      <c r="AC26" s="16">
        <v>16.510694999999998</v>
      </c>
      <c r="AD26" s="16">
        <v>16.580891000000001</v>
      </c>
      <c r="AE26" s="16">
        <v>16.597832</v>
      </c>
      <c r="AF26" s="16">
        <v>16.632612000000002</v>
      </c>
      <c r="AG26" s="16">
        <v>16.557148000000002</v>
      </c>
      <c r="AH26" s="16">
        <v>16.592707000000001</v>
      </c>
      <c r="AI26" s="16">
        <v>16.724599999999999</v>
      </c>
      <c r="AJ26" s="16">
        <v>16.774025000000002</v>
      </c>
      <c r="AK26" s="16">
        <v>16.960595999999999</v>
      </c>
      <c r="AL26" s="13">
        <v>2.8698000000000001E-2</v>
      </c>
    </row>
    <row r="27" spans="1:38" ht="15" customHeight="1" x14ac:dyDescent="0.25">
      <c r="A27" s="7" t="s">
        <v>33</v>
      </c>
      <c r="B27" s="11" t="s">
        <v>34</v>
      </c>
      <c r="C27" s="16">
        <v>2.5552169999999998</v>
      </c>
      <c r="D27" s="16">
        <v>3.4130739999999999</v>
      </c>
      <c r="E27" s="16">
        <v>3.372913</v>
      </c>
      <c r="F27" s="16">
        <v>4.3921900000000003</v>
      </c>
      <c r="G27" s="16">
        <v>6.8586029999999996</v>
      </c>
      <c r="H27" s="16">
        <v>8.3102739999999997</v>
      </c>
      <c r="I27" s="16">
        <v>9.1467100000000006</v>
      </c>
      <c r="J27" s="16">
        <v>9.9271360000000008</v>
      </c>
      <c r="K27" s="16">
        <v>10.349996000000001</v>
      </c>
      <c r="L27" s="16">
        <v>10.724204</v>
      </c>
      <c r="M27" s="16">
        <v>9.6199110000000001</v>
      </c>
      <c r="N27" s="16">
        <v>9.7483299999999993</v>
      </c>
      <c r="O27" s="16">
        <v>9.8623700000000003</v>
      </c>
      <c r="P27" s="16">
        <v>10.081389</v>
      </c>
      <c r="Q27" s="16">
        <v>10.223404</v>
      </c>
      <c r="R27" s="16">
        <v>10.430695</v>
      </c>
      <c r="S27" s="16">
        <v>10.546327</v>
      </c>
      <c r="T27" s="16">
        <v>10.686984000000001</v>
      </c>
      <c r="U27" s="16">
        <v>10.828787</v>
      </c>
      <c r="V27" s="16">
        <v>10.991189</v>
      </c>
      <c r="W27" s="16">
        <v>11.046131000000001</v>
      </c>
      <c r="X27" s="16">
        <v>11.364706</v>
      </c>
      <c r="Y27" s="16">
        <v>11.454796</v>
      </c>
      <c r="Z27" s="16">
        <v>11.580377</v>
      </c>
      <c r="AA27" s="16">
        <v>11.703621999999999</v>
      </c>
      <c r="AB27" s="16">
        <v>11.874575999999999</v>
      </c>
      <c r="AC27" s="16">
        <v>11.938077</v>
      </c>
      <c r="AD27" s="16">
        <v>11.967889</v>
      </c>
      <c r="AE27" s="16">
        <v>11.973164000000001</v>
      </c>
      <c r="AF27" s="16">
        <v>12.015548000000001</v>
      </c>
      <c r="AG27" s="16">
        <v>11.986247000000001</v>
      </c>
      <c r="AH27" s="16">
        <v>12.084899999999999</v>
      </c>
      <c r="AI27" s="16">
        <v>12.157435</v>
      </c>
      <c r="AJ27" s="16">
        <v>12.215859</v>
      </c>
      <c r="AK27" s="16">
        <v>12.341127</v>
      </c>
      <c r="AL27" s="13">
        <v>3.9718000000000003E-2</v>
      </c>
    </row>
    <row r="28" spans="1:38" ht="15" customHeight="1" x14ac:dyDescent="0.25">
      <c r="A28" s="7" t="s">
        <v>35</v>
      </c>
      <c r="B28" s="11" t="s">
        <v>36</v>
      </c>
      <c r="C28" s="16">
        <v>3.445459</v>
      </c>
      <c r="D28" s="16">
        <v>3.9605969999999999</v>
      </c>
      <c r="E28" s="16">
        <v>4.0286920000000004</v>
      </c>
      <c r="F28" s="16">
        <v>4.3783370000000001</v>
      </c>
      <c r="G28" s="16">
        <v>4.6093760000000001</v>
      </c>
      <c r="H28" s="16">
        <v>4.5713359999999996</v>
      </c>
      <c r="I28" s="16">
        <v>4.6044049999999999</v>
      </c>
      <c r="J28" s="16">
        <v>4.7321410000000004</v>
      </c>
      <c r="K28" s="16">
        <v>4.8188610000000001</v>
      </c>
      <c r="L28" s="16">
        <v>4.9453230000000001</v>
      </c>
      <c r="M28" s="16">
        <v>4.9806299999999997</v>
      </c>
      <c r="N28" s="16">
        <v>5.0269459999999997</v>
      </c>
      <c r="O28" s="16">
        <v>5.0301910000000003</v>
      </c>
      <c r="P28" s="16">
        <v>5.0897050000000004</v>
      </c>
      <c r="Q28" s="16">
        <v>5.0851850000000001</v>
      </c>
      <c r="R28" s="16">
        <v>5.0865070000000001</v>
      </c>
      <c r="S28" s="16">
        <v>5.0971760000000002</v>
      </c>
      <c r="T28" s="16">
        <v>5.0944399999999996</v>
      </c>
      <c r="U28" s="16">
        <v>5.1021749999999999</v>
      </c>
      <c r="V28" s="16">
        <v>5.0985950000000004</v>
      </c>
      <c r="W28" s="16">
        <v>5.1915690000000003</v>
      </c>
      <c r="X28" s="16">
        <v>5.2063969999999999</v>
      </c>
      <c r="Y28" s="16">
        <v>5.266858</v>
      </c>
      <c r="Z28" s="16">
        <v>5.309272</v>
      </c>
      <c r="AA28" s="16">
        <v>5.3356079999999997</v>
      </c>
      <c r="AB28" s="16">
        <v>5.3710579999999997</v>
      </c>
      <c r="AC28" s="16">
        <v>5.43323</v>
      </c>
      <c r="AD28" s="16">
        <v>5.472505</v>
      </c>
      <c r="AE28" s="16">
        <v>5.5221499999999999</v>
      </c>
      <c r="AF28" s="16">
        <v>5.5736220000000003</v>
      </c>
      <c r="AG28" s="16">
        <v>5.6234830000000002</v>
      </c>
      <c r="AH28" s="16">
        <v>5.6744940000000001</v>
      </c>
      <c r="AI28" s="16">
        <v>5.7577509999999998</v>
      </c>
      <c r="AJ28" s="16">
        <v>5.824783</v>
      </c>
      <c r="AK28" s="16">
        <v>5.9089359999999997</v>
      </c>
      <c r="AL28" s="13">
        <v>1.2197E-2</v>
      </c>
    </row>
    <row r="29" spans="1:38" ht="15" customHeight="1" x14ac:dyDescent="0.25">
      <c r="A29" s="7" t="s">
        <v>37</v>
      </c>
      <c r="B29" s="11" t="s">
        <v>38</v>
      </c>
      <c r="C29" s="16">
        <v>3.490424</v>
      </c>
      <c r="D29" s="16">
        <v>3.9433720000000001</v>
      </c>
      <c r="E29" s="16">
        <v>4.004791</v>
      </c>
      <c r="F29" s="16">
        <v>4.3100579999999997</v>
      </c>
      <c r="G29" s="16">
        <v>4.5659650000000003</v>
      </c>
      <c r="H29" s="16">
        <v>4.5310300000000003</v>
      </c>
      <c r="I29" s="16">
        <v>4.5602819999999999</v>
      </c>
      <c r="J29" s="16">
        <v>4.6866960000000004</v>
      </c>
      <c r="K29" s="16">
        <v>4.7780490000000002</v>
      </c>
      <c r="L29" s="16">
        <v>4.8990340000000003</v>
      </c>
      <c r="M29" s="16">
        <v>4.9342290000000002</v>
      </c>
      <c r="N29" s="16">
        <v>4.9774719999999997</v>
      </c>
      <c r="O29" s="16">
        <v>4.9811829999999997</v>
      </c>
      <c r="P29" s="16">
        <v>5.0453640000000002</v>
      </c>
      <c r="Q29" s="16">
        <v>5.0442090000000004</v>
      </c>
      <c r="R29" s="16">
        <v>5.0452870000000001</v>
      </c>
      <c r="S29" s="16">
        <v>5.0560650000000003</v>
      </c>
      <c r="T29" s="16">
        <v>5.0528250000000003</v>
      </c>
      <c r="U29" s="16">
        <v>5.0587949999999999</v>
      </c>
      <c r="V29" s="16">
        <v>5.0531199999999998</v>
      </c>
      <c r="W29" s="16">
        <v>5.1461040000000002</v>
      </c>
      <c r="X29" s="16">
        <v>5.1616949999999999</v>
      </c>
      <c r="Y29" s="16">
        <v>5.2230730000000003</v>
      </c>
      <c r="Z29" s="16">
        <v>5.2664330000000001</v>
      </c>
      <c r="AA29" s="16">
        <v>5.2899859999999999</v>
      </c>
      <c r="AB29" s="16">
        <v>5.3238810000000001</v>
      </c>
      <c r="AC29" s="16">
        <v>5.3848159999999998</v>
      </c>
      <c r="AD29" s="16">
        <v>5.420973</v>
      </c>
      <c r="AE29" s="16">
        <v>5.4694099999999999</v>
      </c>
      <c r="AF29" s="16">
        <v>5.5178269999999996</v>
      </c>
      <c r="AG29" s="16">
        <v>5.5668439999999997</v>
      </c>
      <c r="AH29" s="16">
        <v>5.6160579999999998</v>
      </c>
      <c r="AI29" s="16">
        <v>5.6959799999999996</v>
      </c>
      <c r="AJ29" s="16">
        <v>5.7626169999999997</v>
      </c>
      <c r="AK29" s="16">
        <v>5.8444599999999998</v>
      </c>
      <c r="AL29" s="13">
        <v>1.1993999999999999E-2</v>
      </c>
    </row>
    <row r="30" spans="1:38" ht="15" customHeight="1" x14ac:dyDescent="0.25">
      <c r="A30" s="7" t="s">
        <v>39</v>
      </c>
      <c r="B30" s="11" t="s">
        <v>40</v>
      </c>
      <c r="C30" s="16">
        <v>4.3029599999999997</v>
      </c>
      <c r="D30" s="16">
        <v>4.2371480000000004</v>
      </c>
      <c r="E30" s="16">
        <v>4.1703099999999997</v>
      </c>
      <c r="F30" s="16">
        <v>4.2331500000000002</v>
      </c>
      <c r="G30" s="16">
        <v>4.3093240000000002</v>
      </c>
      <c r="H30" s="16">
        <v>4.345199</v>
      </c>
      <c r="I30" s="16">
        <v>4.3996389999999996</v>
      </c>
      <c r="J30" s="16">
        <v>4.4635179999999997</v>
      </c>
      <c r="K30" s="16">
        <v>4.5178240000000001</v>
      </c>
      <c r="L30" s="16">
        <v>4.5679080000000001</v>
      </c>
      <c r="M30" s="16">
        <v>4.5992160000000002</v>
      </c>
      <c r="N30" s="16">
        <v>4.6139849999999996</v>
      </c>
      <c r="O30" s="16">
        <v>4.621391</v>
      </c>
      <c r="P30" s="16">
        <v>4.6339079999999999</v>
      </c>
      <c r="Q30" s="16">
        <v>4.6516469999999996</v>
      </c>
      <c r="R30" s="16">
        <v>4.6703939999999999</v>
      </c>
      <c r="S30" s="16">
        <v>4.6886950000000001</v>
      </c>
      <c r="T30" s="16">
        <v>4.7097800000000003</v>
      </c>
      <c r="U30" s="16">
        <v>4.7219410000000002</v>
      </c>
      <c r="V30" s="16">
        <v>4.7466970000000002</v>
      </c>
      <c r="W30" s="16">
        <v>4.7643000000000004</v>
      </c>
      <c r="X30" s="16">
        <v>4.7825139999999999</v>
      </c>
      <c r="Y30" s="16">
        <v>4.8000220000000002</v>
      </c>
      <c r="Z30" s="16">
        <v>4.8112440000000003</v>
      </c>
      <c r="AA30" s="16">
        <v>4.8299370000000001</v>
      </c>
      <c r="AB30" s="16">
        <v>4.8518330000000001</v>
      </c>
      <c r="AC30" s="16">
        <v>4.8641160000000001</v>
      </c>
      <c r="AD30" s="16">
        <v>4.8852070000000003</v>
      </c>
      <c r="AE30" s="16">
        <v>4.9098569999999997</v>
      </c>
      <c r="AF30" s="16">
        <v>4.9418259999999998</v>
      </c>
      <c r="AG30" s="16">
        <v>4.9744010000000003</v>
      </c>
      <c r="AH30" s="16">
        <v>5.0108030000000001</v>
      </c>
      <c r="AI30" s="16">
        <v>5.0526799999999996</v>
      </c>
      <c r="AJ30" s="16">
        <v>5.0899960000000002</v>
      </c>
      <c r="AK30" s="16">
        <v>5.1314289999999998</v>
      </c>
      <c r="AL30" s="13">
        <v>5.8199999999999997E-3</v>
      </c>
    </row>
    <row r="31" spans="1:38" ht="15" customHeight="1" x14ac:dyDescent="0.25">
      <c r="A31" s="7" t="s">
        <v>41</v>
      </c>
      <c r="B31" s="11" t="s">
        <v>42</v>
      </c>
      <c r="C31" s="16">
        <v>3.3011300000000001</v>
      </c>
      <c r="D31" s="16">
        <v>3.261285</v>
      </c>
      <c r="E31" s="16">
        <v>3.271379</v>
      </c>
      <c r="F31" s="16">
        <v>3.3266810000000002</v>
      </c>
      <c r="G31" s="16">
        <v>3.3628770000000001</v>
      </c>
      <c r="H31" s="16">
        <v>3.381891</v>
      </c>
      <c r="I31" s="16">
        <v>3.388058</v>
      </c>
      <c r="J31" s="16">
        <v>3.3876919999999999</v>
      </c>
      <c r="K31" s="16">
        <v>3.3911380000000002</v>
      </c>
      <c r="L31" s="16">
        <v>3.4039079999999999</v>
      </c>
      <c r="M31" s="16">
        <v>3.4116659999999999</v>
      </c>
      <c r="N31" s="16">
        <v>3.4044099999999999</v>
      </c>
      <c r="O31" s="16">
        <v>3.396185</v>
      </c>
      <c r="P31" s="16">
        <v>3.385364</v>
      </c>
      <c r="Q31" s="16">
        <v>3.38788</v>
      </c>
      <c r="R31" s="16">
        <v>3.38523</v>
      </c>
      <c r="S31" s="16">
        <v>3.3780250000000001</v>
      </c>
      <c r="T31" s="16">
        <v>3.3749989999999999</v>
      </c>
      <c r="U31" s="16">
        <v>3.3689390000000001</v>
      </c>
      <c r="V31" s="16">
        <v>3.3701530000000002</v>
      </c>
      <c r="W31" s="16">
        <v>3.3681580000000002</v>
      </c>
      <c r="X31" s="16">
        <v>3.3820489999999999</v>
      </c>
      <c r="Y31" s="16">
        <v>3.3874420000000001</v>
      </c>
      <c r="Z31" s="16">
        <v>3.399375</v>
      </c>
      <c r="AA31" s="16">
        <v>3.4055559999999998</v>
      </c>
      <c r="AB31" s="16">
        <v>3.4183319999999999</v>
      </c>
      <c r="AC31" s="16">
        <v>3.435981</v>
      </c>
      <c r="AD31" s="16">
        <v>3.449017</v>
      </c>
      <c r="AE31" s="16">
        <v>3.4563950000000001</v>
      </c>
      <c r="AF31" s="16">
        <v>3.4687570000000001</v>
      </c>
      <c r="AG31" s="16">
        <v>3.4779170000000001</v>
      </c>
      <c r="AH31" s="16">
        <v>3.4895619999999998</v>
      </c>
      <c r="AI31" s="16">
        <v>3.5014059999999998</v>
      </c>
      <c r="AJ31" s="16">
        <v>3.512883</v>
      </c>
      <c r="AK31" s="16">
        <v>3.527069</v>
      </c>
      <c r="AL31" s="13">
        <v>2.3770000000000002E-3</v>
      </c>
    </row>
    <row r="32" spans="1:38" ht="15" customHeight="1" x14ac:dyDescent="0.25">
      <c r="A32" s="7" t="s">
        <v>43</v>
      </c>
      <c r="B32" s="11" t="s">
        <v>44</v>
      </c>
      <c r="C32" s="13" t="s">
        <v>9</v>
      </c>
      <c r="D32" s="13" t="s">
        <v>9</v>
      </c>
      <c r="E32" s="13" t="s">
        <v>9</v>
      </c>
      <c r="F32" s="13" t="s">
        <v>9</v>
      </c>
      <c r="G32" s="13" t="s">
        <v>9</v>
      </c>
      <c r="H32" s="13" t="s">
        <v>9</v>
      </c>
      <c r="I32" s="13" t="s">
        <v>9</v>
      </c>
      <c r="J32" s="13" t="s">
        <v>9</v>
      </c>
      <c r="K32" s="13" t="s">
        <v>9</v>
      </c>
      <c r="L32" s="13" t="s">
        <v>9</v>
      </c>
      <c r="M32" s="13" t="s">
        <v>9</v>
      </c>
      <c r="N32" s="13" t="s">
        <v>9</v>
      </c>
      <c r="O32" s="13" t="s">
        <v>9</v>
      </c>
      <c r="P32" s="13" t="s">
        <v>9</v>
      </c>
      <c r="Q32" s="13" t="s">
        <v>9</v>
      </c>
      <c r="R32" s="13" t="s">
        <v>9</v>
      </c>
      <c r="S32" s="13" t="s">
        <v>9</v>
      </c>
      <c r="T32" s="13" t="s">
        <v>9</v>
      </c>
      <c r="U32" s="13" t="s">
        <v>9</v>
      </c>
      <c r="V32" s="13" t="s">
        <v>9</v>
      </c>
      <c r="W32" s="13" t="s">
        <v>9</v>
      </c>
      <c r="X32" s="13" t="s">
        <v>9</v>
      </c>
      <c r="Y32" s="13" t="s">
        <v>9</v>
      </c>
      <c r="Z32" s="13" t="s">
        <v>9</v>
      </c>
      <c r="AA32" s="13" t="s">
        <v>9</v>
      </c>
      <c r="AB32" s="13" t="s">
        <v>9</v>
      </c>
      <c r="AC32" s="13" t="s">
        <v>9</v>
      </c>
      <c r="AD32" s="13" t="s">
        <v>9</v>
      </c>
      <c r="AE32" s="13" t="s">
        <v>9</v>
      </c>
      <c r="AF32" s="13" t="s">
        <v>9</v>
      </c>
      <c r="AG32" s="13" t="s">
        <v>9</v>
      </c>
      <c r="AH32" s="13" t="s">
        <v>9</v>
      </c>
      <c r="AI32" s="13" t="s">
        <v>9</v>
      </c>
      <c r="AJ32" s="13" t="s">
        <v>9</v>
      </c>
      <c r="AK32" s="13" t="s">
        <v>9</v>
      </c>
      <c r="AL32" s="13" t="s">
        <v>9</v>
      </c>
    </row>
    <row r="33" spans="1:38" ht="15" customHeight="1" x14ac:dyDescent="0.25">
      <c r="A33" s="7" t="s">
        <v>45</v>
      </c>
      <c r="B33" s="11" t="s">
        <v>46</v>
      </c>
      <c r="C33" s="16">
        <v>20.205656000000001</v>
      </c>
      <c r="D33" s="16">
        <v>21.383452999999999</v>
      </c>
      <c r="E33" s="16">
        <v>21.461102</v>
      </c>
      <c r="F33" s="16">
        <v>21.160613999999999</v>
      </c>
      <c r="G33" s="16">
        <v>21.519328999999999</v>
      </c>
      <c r="H33" s="16">
        <v>21.45665</v>
      </c>
      <c r="I33" s="16">
        <v>21.512913000000001</v>
      </c>
      <c r="J33" s="16">
        <v>21.475373999999999</v>
      </c>
      <c r="K33" s="16">
        <v>21.511150000000001</v>
      </c>
      <c r="L33" s="16">
        <v>21.775507000000001</v>
      </c>
      <c r="M33" s="16">
        <v>21.817186</v>
      </c>
      <c r="N33" s="16">
        <v>21.828346</v>
      </c>
      <c r="O33" s="16">
        <v>21.837864</v>
      </c>
      <c r="P33" s="16">
        <v>21.851338999999999</v>
      </c>
      <c r="Q33" s="16">
        <v>21.876609999999999</v>
      </c>
      <c r="R33" s="16">
        <v>21.934045999999999</v>
      </c>
      <c r="S33" s="16">
        <v>21.907633000000001</v>
      </c>
      <c r="T33" s="16">
        <v>21.855467000000001</v>
      </c>
      <c r="U33" s="16">
        <v>21.814164999999999</v>
      </c>
      <c r="V33" s="16">
        <v>21.768561999999999</v>
      </c>
      <c r="W33" s="16">
        <v>21.760487000000001</v>
      </c>
      <c r="X33" s="16">
        <v>21.730557999999998</v>
      </c>
      <c r="Y33" s="16">
        <v>21.727701</v>
      </c>
      <c r="Z33" s="16">
        <v>21.720903</v>
      </c>
      <c r="AA33" s="16">
        <v>21.682669000000001</v>
      </c>
      <c r="AB33" s="16">
        <v>21.644390000000001</v>
      </c>
      <c r="AC33" s="16">
        <v>21.602976000000002</v>
      </c>
      <c r="AD33" s="16">
        <v>21.550160999999999</v>
      </c>
      <c r="AE33" s="16">
        <v>21.521294000000001</v>
      </c>
      <c r="AF33" s="16">
        <v>21.487128999999999</v>
      </c>
      <c r="AG33" s="16">
        <v>21.422474000000001</v>
      </c>
      <c r="AH33" s="16">
        <v>21.380215</v>
      </c>
      <c r="AI33" s="16">
        <v>21.418133000000001</v>
      </c>
      <c r="AJ33" s="16">
        <v>21.420389</v>
      </c>
      <c r="AK33" s="16">
        <v>21.339504000000002</v>
      </c>
      <c r="AL33" s="13">
        <v>-6.2000000000000003E-5</v>
      </c>
    </row>
    <row r="34" spans="1:38" ht="15" customHeight="1" x14ac:dyDescent="0.25">
      <c r="B34" s="10" t="s">
        <v>47</v>
      </c>
    </row>
    <row r="35" spans="1:38" ht="15" customHeight="1" x14ac:dyDescent="0.25">
      <c r="A35" s="7" t="s">
        <v>48</v>
      </c>
      <c r="B35" s="11" t="s">
        <v>26</v>
      </c>
      <c r="C35" s="16">
        <v>11.471981</v>
      </c>
      <c r="D35" s="16">
        <v>12.419774</v>
      </c>
      <c r="E35" s="16">
        <v>11.727169999999999</v>
      </c>
      <c r="F35" s="16">
        <v>12.129690999999999</v>
      </c>
      <c r="G35" s="16">
        <v>13.349494</v>
      </c>
      <c r="H35" s="16">
        <v>14.02632</v>
      </c>
      <c r="I35" s="16">
        <v>14.685662000000001</v>
      </c>
      <c r="J35" s="16">
        <v>15.320948</v>
      </c>
      <c r="K35" s="16">
        <v>15.856676999999999</v>
      </c>
      <c r="L35" s="16">
        <v>16.316079999999999</v>
      </c>
      <c r="M35" s="16">
        <v>16.762985</v>
      </c>
      <c r="N35" s="16">
        <v>17.1938</v>
      </c>
      <c r="O35" s="16">
        <v>17.681047</v>
      </c>
      <c r="P35" s="16">
        <v>18.377873999999998</v>
      </c>
      <c r="Q35" s="16">
        <v>18.904325</v>
      </c>
      <c r="R35" s="16">
        <v>19.595272000000001</v>
      </c>
      <c r="S35" s="16">
        <v>20.395508</v>
      </c>
      <c r="T35" s="16">
        <v>21.183406999999999</v>
      </c>
      <c r="U35" s="16">
        <v>21.921406000000001</v>
      </c>
      <c r="V35" s="16">
        <v>22.755676000000001</v>
      </c>
      <c r="W35" s="16">
        <v>23.640761999999999</v>
      </c>
      <c r="X35" s="16">
        <v>24.333152999999999</v>
      </c>
      <c r="Y35" s="16">
        <v>25.456530000000001</v>
      </c>
      <c r="Z35" s="16">
        <v>26.289626999999999</v>
      </c>
      <c r="AA35" s="16">
        <v>27.101372000000001</v>
      </c>
      <c r="AB35" s="16">
        <v>28.051600000000001</v>
      </c>
      <c r="AC35" s="16">
        <v>28.971222000000001</v>
      </c>
      <c r="AD35" s="16">
        <v>30.008717000000001</v>
      </c>
      <c r="AE35" s="16">
        <v>30.998546999999999</v>
      </c>
      <c r="AF35" s="16">
        <v>32.149619999999999</v>
      </c>
      <c r="AG35" s="16">
        <v>33.196209000000003</v>
      </c>
      <c r="AH35" s="16">
        <v>34.348846000000002</v>
      </c>
      <c r="AI35" s="16">
        <v>35.657963000000002</v>
      </c>
      <c r="AJ35" s="16">
        <v>36.979312999999998</v>
      </c>
      <c r="AK35" s="16">
        <v>38.199748999999997</v>
      </c>
      <c r="AL35" s="13">
        <v>3.4632999999999997E-2</v>
      </c>
    </row>
    <row r="36" spans="1:38" ht="15" customHeight="1" x14ac:dyDescent="0.25">
      <c r="A36" s="7" t="s">
        <v>49</v>
      </c>
      <c r="B36" s="11" t="s">
        <v>28</v>
      </c>
      <c r="C36" s="16">
        <v>18.382902000000001</v>
      </c>
      <c r="D36" s="16">
        <v>20.386649999999999</v>
      </c>
      <c r="E36" s="16">
        <v>20.510252000000001</v>
      </c>
      <c r="F36" s="16">
        <v>21.615480000000002</v>
      </c>
      <c r="G36" s="16">
        <v>25.373899000000002</v>
      </c>
      <c r="H36" s="16">
        <v>27.667559000000001</v>
      </c>
      <c r="I36" s="16">
        <v>29.13476</v>
      </c>
      <c r="J36" s="16">
        <v>30.501695999999999</v>
      </c>
      <c r="K36" s="16">
        <v>31.533930000000002</v>
      </c>
      <c r="L36" s="16">
        <v>32.265239999999999</v>
      </c>
      <c r="M36" s="16">
        <v>33.019629999999999</v>
      </c>
      <c r="N36" s="16">
        <v>33.994262999999997</v>
      </c>
      <c r="O36" s="16">
        <v>35.045707999999998</v>
      </c>
      <c r="P36" s="16">
        <v>36.134537000000002</v>
      </c>
      <c r="Q36" s="16">
        <v>37.076774999999998</v>
      </c>
      <c r="R36" s="16">
        <v>38.395969000000001</v>
      </c>
      <c r="S36" s="16">
        <v>39.420467000000002</v>
      </c>
      <c r="T36" s="16">
        <v>40.518234</v>
      </c>
      <c r="U36" s="16">
        <v>41.806483999999998</v>
      </c>
      <c r="V36" s="16">
        <v>42.944327999999999</v>
      </c>
      <c r="W36" s="16">
        <v>44.027507999999997</v>
      </c>
      <c r="X36" s="16">
        <v>45.723208999999997</v>
      </c>
      <c r="Y36" s="16">
        <v>46.957962000000002</v>
      </c>
      <c r="Z36" s="16">
        <v>48.325310000000002</v>
      </c>
      <c r="AA36" s="16">
        <v>49.801777000000001</v>
      </c>
      <c r="AB36" s="16">
        <v>51.253081999999999</v>
      </c>
      <c r="AC36" s="16">
        <v>52.701954000000001</v>
      </c>
      <c r="AD36" s="16">
        <v>54.109130999999998</v>
      </c>
      <c r="AE36" s="16">
        <v>55.571753999999999</v>
      </c>
      <c r="AF36" s="16">
        <v>57.102584999999998</v>
      </c>
      <c r="AG36" s="16">
        <v>58.329487</v>
      </c>
      <c r="AH36" s="16">
        <v>60.110100000000003</v>
      </c>
      <c r="AI36" s="16">
        <v>62.002026000000001</v>
      </c>
      <c r="AJ36" s="16">
        <v>63.703709000000003</v>
      </c>
      <c r="AK36" s="16">
        <v>65.528458000000001</v>
      </c>
      <c r="AL36" s="13">
        <v>3.6014999999999998E-2</v>
      </c>
    </row>
    <row r="37" spans="1:38" ht="15" customHeight="1" x14ac:dyDescent="0.25">
      <c r="A37" s="7" t="s">
        <v>50</v>
      </c>
      <c r="B37" s="11" t="s">
        <v>30</v>
      </c>
      <c r="C37" s="16">
        <v>13.502984</v>
      </c>
      <c r="D37" s="16">
        <v>16.010017000000001</v>
      </c>
      <c r="E37" s="16">
        <v>16.985847</v>
      </c>
      <c r="F37" s="16">
        <v>17.644905000000001</v>
      </c>
      <c r="G37" s="16">
        <v>21.038257999999999</v>
      </c>
      <c r="H37" s="16">
        <v>22.774629999999998</v>
      </c>
      <c r="I37" s="16">
        <v>23.677088000000001</v>
      </c>
      <c r="J37" s="16">
        <v>24.560749000000001</v>
      </c>
      <c r="K37" s="16">
        <v>25.547267999999999</v>
      </c>
      <c r="L37" s="16">
        <v>26.460070000000002</v>
      </c>
      <c r="M37" s="16">
        <v>27.181837000000002</v>
      </c>
      <c r="N37" s="16">
        <v>28.146889000000002</v>
      </c>
      <c r="O37" s="16">
        <v>29.149325999999999</v>
      </c>
      <c r="P37" s="16">
        <v>30.237804000000001</v>
      </c>
      <c r="Q37" s="16">
        <v>31.193069000000001</v>
      </c>
      <c r="R37" s="16">
        <v>32.357680999999999</v>
      </c>
      <c r="S37" s="16">
        <v>33.300190000000001</v>
      </c>
      <c r="T37" s="16">
        <v>34.431347000000002</v>
      </c>
      <c r="U37" s="16">
        <v>35.640179000000003</v>
      </c>
      <c r="V37" s="16">
        <v>36.692664999999998</v>
      </c>
      <c r="W37" s="16">
        <v>37.733212000000002</v>
      </c>
      <c r="X37" s="16">
        <v>39.364421999999998</v>
      </c>
      <c r="Y37" s="16">
        <v>40.485053999999998</v>
      </c>
      <c r="Z37" s="16">
        <v>41.762034999999997</v>
      </c>
      <c r="AA37" s="16">
        <v>43.038879000000001</v>
      </c>
      <c r="AB37" s="16">
        <v>44.393084999999999</v>
      </c>
      <c r="AC37" s="16">
        <v>45.477657000000001</v>
      </c>
      <c r="AD37" s="16">
        <v>46.631839999999997</v>
      </c>
      <c r="AE37" s="16">
        <v>47.752583000000001</v>
      </c>
      <c r="AF37" s="16">
        <v>49.048779000000003</v>
      </c>
      <c r="AG37" s="16">
        <v>50.089458</v>
      </c>
      <c r="AH37" s="16">
        <v>51.535266999999997</v>
      </c>
      <c r="AI37" s="16">
        <v>53.032046999999999</v>
      </c>
      <c r="AJ37" s="16">
        <v>54.118771000000002</v>
      </c>
      <c r="AK37" s="16">
        <v>55.624554000000003</v>
      </c>
      <c r="AL37" s="13">
        <v>3.8461000000000002E-2</v>
      </c>
    </row>
    <row r="38" spans="1:38" ht="15" customHeight="1" x14ac:dyDescent="0.25">
      <c r="A38" s="7" t="s">
        <v>51</v>
      </c>
      <c r="B38" s="11" t="s">
        <v>32</v>
      </c>
      <c r="C38" s="16">
        <v>4.909198</v>
      </c>
      <c r="D38" s="16">
        <v>6.6671880000000003</v>
      </c>
      <c r="E38" s="16">
        <v>6.7468029999999999</v>
      </c>
      <c r="F38" s="16">
        <v>7.8390230000000001</v>
      </c>
      <c r="G38" s="16">
        <v>11.297184</v>
      </c>
      <c r="H38" s="16">
        <v>13.120635999999999</v>
      </c>
      <c r="I38" s="16">
        <v>14.260422</v>
      </c>
      <c r="J38" s="16">
        <v>15.299765000000001</v>
      </c>
      <c r="K38" s="16">
        <v>15.77984</v>
      </c>
      <c r="L38" s="16">
        <v>16.177261000000001</v>
      </c>
      <c r="M38" s="16">
        <v>16.835203</v>
      </c>
      <c r="N38" s="16">
        <v>17.473984000000002</v>
      </c>
      <c r="O38" s="16">
        <v>18.054689</v>
      </c>
      <c r="P38" s="16">
        <v>18.833808999999999</v>
      </c>
      <c r="Q38" s="16">
        <v>19.476189000000002</v>
      </c>
      <c r="R38" s="16">
        <v>20.275656000000001</v>
      </c>
      <c r="S38" s="16">
        <v>20.912043000000001</v>
      </c>
      <c r="T38" s="16">
        <v>21.658826999999999</v>
      </c>
      <c r="U38" s="16">
        <v>22.387886000000002</v>
      </c>
      <c r="V38" s="16">
        <v>23.153100999999999</v>
      </c>
      <c r="W38" s="16">
        <v>23.762581000000001</v>
      </c>
      <c r="X38" s="16">
        <v>24.891739000000001</v>
      </c>
      <c r="Y38" s="16">
        <v>25.679079000000002</v>
      </c>
      <c r="Z38" s="16">
        <v>26.575346</v>
      </c>
      <c r="AA38" s="16">
        <v>27.454875999999999</v>
      </c>
      <c r="AB38" s="16">
        <v>28.368517000000001</v>
      </c>
      <c r="AC38" s="16">
        <v>29.183456</v>
      </c>
      <c r="AD38" s="16">
        <v>30.010157</v>
      </c>
      <c r="AE38" s="16">
        <v>30.768414</v>
      </c>
      <c r="AF38" s="16">
        <v>31.588455</v>
      </c>
      <c r="AG38" s="16">
        <v>32.216568000000002</v>
      </c>
      <c r="AH38" s="16">
        <v>33.086799999999997</v>
      </c>
      <c r="AI38" s="16">
        <v>34.189964000000003</v>
      </c>
      <c r="AJ38" s="16">
        <v>35.155056000000002</v>
      </c>
      <c r="AK38" s="16">
        <v>36.451599000000002</v>
      </c>
      <c r="AL38" s="13">
        <v>5.2825999999999998E-2</v>
      </c>
    </row>
    <row r="39" spans="1:38" ht="15" customHeight="1" x14ac:dyDescent="0.25">
      <c r="A39" s="7" t="s">
        <v>52</v>
      </c>
      <c r="B39" s="11" t="s">
        <v>34</v>
      </c>
      <c r="C39" s="16">
        <v>2.5110489999999999</v>
      </c>
      <c r="D39" s="16">
        <v>3.4130739999999999</v>
      </c>
      <c r="E39" s="16">
        <v>3.447994</v>
      </c>
      <c r="F39" s="16">
        <v>4.5948029999999997</v>
      </c>
      <c r="G39" s="16">
        <v>7.3626310000000004</v>
      </c>
      <c r="H39" s="16">
        <v>9.1415100000000002</v>
      </c>
      <c r="I39" s="16">
        <v>10.304294000000001</v>
      </c>
      <c r="J39" s="16">
        <v>11.459619</v>
      </c>
      <c r="K39" s="16">
        <v>12.237792000000001</v>
      </c>
      <c r="L39" s="16">
        <v>12.983008</v>
      </c>
      <c r="M39" s="16">
        <v>11.913136</v>
      </c>
      <c r="N39" s="16">
        <v>12.343928999999999</v>
      </c>
      <c r="O39" s="16">
        <v>12.757766999999999</v>
      </c>
      <c r="P39" s="16">
        <v>13.319331999999999</v>
      </c>
      <c r="Q39" s="16">
        <v>13.796951999999999</v>
      </c>
      <c r="R39" s="16">
        <v>14.384074</v>
      </c>
      <c r="S39" s="16">
        <v>14.863132999999999</v>
      </c>
      <c r="T39" s="16">
        <v>15.396095000000001</v>
      </c>
      <c r="U39" s="16">
        <v>15.950169000000001</v>
      </c>
      <c r="V39" s="16">
        <v>16.555904000000002</v>
      </c>
      <c r="W39" s="16">
        <v>17.019684000000002</v>
      </c>
      <c r="X39" s="16">
        <v>17.911873</v>
      </c>
      <c r="Y39" s="16">
        <v>18.465986000000001</v>
      </c>
      <c r="Z39" s="16">
        <v>19.097200000000001</v>
      </c>
      <c r="AA39" s="16">
        <v>19.747254999999999</v>
      </c>
      <c r="AB39" s="16">
        <v>20.504662</v>
      </c>
      <c r="AC39" s="16">
        <v>21.101133000000001</v>
      </c>
      <c r="AD39" s="16">
        <v>21.660972999999998</v>
      </c>
      <c r="AE39" s="16">
        <v>22.195385000000002</v>
      </c>
      <c r="AF39" s="16">
        <v>22.819782</v>
      </c>
      <c r="AG39" s="16">
        <v>23.322599</v>
      </c>
      <c r="AH39" s="16">
        <v>24.097977</v>
      </c>
      <c r="AI39" s="16">
        <v>24.853345999999998</v>
      </c>
      <c r="AJ39" s="16">
        <v>25.602039000000001</v>
      </c>
      <c r="AK39" s="16">
        <v>26.523468000000001</v>
      </c>
      <c r="AL39" s="13">
        <v>6.4104999999999995E-2</v>
      </c>
    </row>
    <row r="40" spans="1:38" ht="15" customHeight="1" x14ac:dyDescent="0.25">
      <c r="A40" s="7" t="s">
        <v>53</v>
      </c>
      <c r="B40" s="11" t="s">
        <v>36</v>
      </c>
      <c r="C40" s="16">
        <v>3.3859020000000002</v>
      </c>
      <c r="D40" s="16">
        <v>3.9605969999999999</v>
      </c>
      <c r="E40" s="16">
        <v>4.1183709999999998</v>
      </c>
      <c r="F40" s="16">
        <v>4.580311</v>
      </c>
      <c r="G40" s="16">
        <v>4.9481120000000001</v>
      </c>
      <c r="H40" s="16">
        <v>5.0285840000000004</v>
      </c>
      <c r="I40" s="16">
        <v>5.1871260000000001</v>
      </c>
      <c r="J40" s="16">
        <v>5.462656</v>
      </c>
      <c r="K40" s="16">
        <v>5.6978010000000001</v>
      </c>
      <c r="L40" s="16">
        <v>5.9869409999999998</v>
      </c>
      <c r="M40" s="16">
        <v>6.1679279999999999</v>
      </c>
      <c r="N40" s="16">
        <v>6.3654250000000001</v>
      </c>
      <c r="O40" s="16">
        <v>6.5069549999999996</v>
      </c>
      <c r="P40" s="16">
        <v>6.724418</v>
      </c>
      <c r="Q40" s="16">
        <v>6.8626899999999997</v>
      </c>
      <c r="R40" s="16">
        <v>7.0143639999999996</v>
      </c>
      <c r="S40" s="16">
        <v>7.1835440000000004</v>
      </c>
      <c r="T40" s="16">
        <v>7.3392540000000004</v>
      </c>
      <c r="U40" s="16">
        <v>7.5152049999999999</v>
      </c>
      <c r="V40" s="16">
        <v>7.6799559999999998</v>
      </c>
      <c r="W40" s="16">
        <v>7.9990769999999998</v>
      </c>
      <c r="X40" s="16">
        <v>8.2057839999999995</v>
      </c>
      <c r="Y40" s="16">
        <v>8.4905690000000007</v>
      </c>
      <c r="Z40" s="16">
        <v>8.7555209999999999</v>
      </c>
      <c r="AA40" s="16">
        <v>9.0026480000000006</v>
      </c>
      <c r="AB40" s="16">
        <v>9.2745809999999995</v>
      </c>
      <c r="AC40" s="16">
        <v>9.6034989999999993</v>
      </c>
      <c r="AD40" s="16">
        <v>9.9048189999999998</v>
      </c>
      <c r="AE40" s="16">
        <v>10.236746999999999</v>
      </c>
      <c r="AF40" s="16">
        <v>10.585356000000001</v>
      </c>
      <c r="AG40" s="16">
        <v>10.94206</v>
      </c>
      <c r="AH40" s="16">
        <v>11.315262000000001</v>
      </c>
      <c r="AI40" s="16">
        <v>11.770524</v>
      </c>
      <c r="AJ40" s="16">
        <v>12.207601</v>
      </c>
      <c r="AK40" s="16">
        <v>12.699445000000001</v>
      </c>
      <c r="AL40" s="13">
        <v>3.5938999999999999E-2</v>
      </c>
    </row>
    <row r="41" spans="1:38" ht="15" customHeight="1" x14ac:dyDescent="0.25">
      <c r="A41" s="7" t="s">
        <v>54</v>
      </c>
      <c r="B41" s="11" t="s">
        <v>38</v>
      </c>
      <c r="C41" s="16">
        <v>3.4300899999999999</v>
      </c>
      <c r="D41" s="16">
        <v>3.9433720000000001</v>
      </c>
      <c r="E41" s="16">
        <v>4.0939370000000004</v>
      </c>
      <c r="F41" s="16">
        <v>4.508883</v>
      </c>
      <c r="G41" s="16">
        <v>4.9015110000000002</v>
      </c>
      <c r="H41" s="16">
        <v>4.9842459999999997</v>
      </c>
      <c r="I41" s="16">
        <v>5.1374190000000004</v>
      </c>
      <c r="J41" s="16">
        <v>5.410196</v>
      </c>
      <c r="K41" s="16">
        <v>5.649546</v>
      </c>
      <c r="L41" s="16">
        <v>5.9309019999999997</v>
      </c>
      <c r="M41" s="16">
        <v>6.1104659999999997</v>
      </c>
      <c r="N41" s="16">
        <v>6.3027790000000001</v>
      </c>
      <c r="O41" s="16">
        <v>6.4435589999999996</v>
      </c>
      <c r="P41" s="16">
        <v>6.6658350000000004</v>
      </c>
      <c r="Q41" s="16">
        <v>6.8073920000000001</v>
      </c>
      <c r="R41" s="16">
        <v>6.9575209999999998</v>
      </c>
      <c r="S41" s="16">
        <v>7.1256069999999996</v>
      </c>
      <c r="T41" s="16">
        <v>7.2793020000000004</v>
      </c>
      <c r="U41" s="16">
        <v>7.4513100000000003</v>
      </c>
      <c r="V41" s="16">
        <v>7.6114579999999998</v>
      </c>
      <c r="W41" s="16">
        <v>7.9290260000000004</v>
      </c>
      <c r="X41" s="16">
        <v>8.1353290000000005</v>
      </c>
      <c r="Y41" s="16">
        <v>8.4199830000000002</v>
      </c>
      <c r="Z41" s="16">
        <v>8.6848749999999999</v>
      </c>
      <c r="AA41" s="16">
        <v>8.9256729999999997</v>
      </c>
      <c r="AB41" s="16">
        <v>9.1931170000000009</v>
      </c>
      <c r="AC41" s="16">
        <v>9.5179240000000007</v>
      </c>
      <c r="AD41" s="16">
        <v>9.8115509999999997</v>
      </c>
      <c r="AE41" s="16">
        <v>10.13898</v>
      </c>
      <c r="AF41" s="16">
        <v>10.47939</v>
      </c>
      <c r="AG41" s="16">
        <v>10.831854999999999</v>
      </c>
      <c r="AH41" s="16">
        <v>11.198738000000001</v>
      </c>
      <c r="AI41" s="16">
        <v>11.644246000000001</v>
      </c>
      <c r="AJ41" s="16">
        <v>12.077311999999999</v>
      </c>
      <c r="AK41" s="16">
        <v>12.560874999999999</v>
      </c>
      <c r="AL41" s="13">
        <v>3.5730999999999999E-2</v>
      </c>
    </row>
    <row r="42" spans="1:38" ht="15" customHeight="1" x14ac:dyDescent="0.25">
      <c r="A42" s="7" t="s">
        <v>55</v>
      </c>
      <c r="B42" s="11" t="s">
        <v>40</v>
      </c>
      <c r="C42" s="16">
        <v>4.2285810000000001</v>
      </c>
      <c r="D42" s="16">
        <v>4.2371480000000004</v>
      </c>
      <c r="E42" s="16">
        <v>4.2631420000000002</v>
      </c>
      <c r="F42" s="16">
        <v>4.4284270000000001</v>
      </c>
      <c r="G42" s="16">
        <v>4.6260089999999998</v>
      </c>
      <c r="H42" s="16">
        <v>4.7798280000000002</v>
      </c>
      <c r="I42" s="16">
        <v>4.9564459999999997</v>
      </c>
      <c r="J42" s="16">
        <v>5.1525650000000001</v>
      </c>
      <c r="K42" s="16">
        <v>5.3418559999999999</v>
      </c>
      <c r="L42" s="16">
        <v>5.5300320000000003</v>
      </c>
      <c r="M42" s="16">
        <v>5.6955900000000002</v>
      </c>
      <c r="N42" s="16">
        <v>5.8425079999999996</v>
      </c>
      <c r="O42" s="16">
        <v>5.9781399999999998</v>
      </c>
      <c r="P42" s="16">
        <v>6.1222269999999996</v>
      </c>
      <c r="Q42" s="16">
        <v>6.2776100000000001</v>
      </c>
      <c r="R42" s="16">
        <v>6.4405390000000002</v>
      </c>
      <c r="S42" s="16">
        <v>6.6078640000000002</v>
      </c>
      <c r="T42" s="16">
        <v>6.7850970000000004</v>
      </c>
      <c r="U42" s="16">
        <v>6.9551420000000004</v>
      </c>
      <c r="V42" s="16">
        <v>7.1498970000000002</v>
      </c>
      <c r="W42" s="16">
        <v>7.3407489999999997</v>
      </c>
      <c r="X42" s="16">
        <v>7.5377039999999997</v>
      </c>
      <c r="Y42" s="16">
        <v>7.7379939999999996</v>
      </c>
      <c r="Z42" s="16">
        <v>7.9342240000000004</v>
      </c>
      <c r="AA42" s="16">
        <v>8.1494420000000005</v>
      </c>
      <c r="AB42" s="16">
        <v>8.3779990000000009</v>
      </c>
      <c r="AC42" s="16">
        <v>8.5975610000000007</v>
      </c>
      <c r="AD42" s="16">
        <v>8.8418550000000007</v>
      </c>
      <c r="AE42" s="16">
        <v>9.1017019999999995</v>
      </c>
      <c r="AF42" s="16">
        <v>9.3854570000000006</v>
      </c>
      <c r="AG42" s="16">
        <v>9.6790889999999994</v>
      </c>
      <c r="AH42" s="16">
        <v>9.9918250000000004</v>
      </c>
      <c r="AI42" s="16">
        <v>10.329154000000001</v>
      </c>
      <c r="AJ42" s="16">
        <v>10.667631</v>
      </c>
      <c r="AK42" s="16">
        <v>11.028432</v>
      </c>
      <c r="AL42" s="13">
        <v>2.9412000000000001E-2</v>
      </c>
    </row>
    <row r="43" spans="1:38" ht="15" customHeight="1" x14ac:dyDescent="0.25">
      <c r="A43" s="7" t="s">
        <v>56</v>
      </c>
      <c r="B43" s="11" t="s">
        <v>42</v>
      </c>
      <c r="C43" s="16">
        <v>3.244068</v>
      </c>
      <c r="D43" s="16">
        <v>3.261285</v>
      </c>
      <c r="E43" s="16">
        <v>3.3441999999999998</v>
      </c>
      <c r="F43" s="16">
        <v>3.4801419999999998</v>
      </c>
      <c r="G43" s="16">
        <v>3.6100099999999999</v>
      </c>
      <c r="H43" s="16">
        <v>3.720164</v>
      </c>
      <c r="I43" s="16">
        <v>3.8168419999999998</v>
      </c>
      <c r="J43" s="16">
        <v>3.91066</v>
      </c>
      <c r="K43" s="16">
        <v>4.0096670000000003</v>
      </c>
      <c r="L43" s="16">
        <v>4.1208619999999998</v>
      </c>
      <c r="M43" s="16">
        <v>4.2249499999999998</v>
      </c>
      <c r="N43" s="16">
        <v>4.3108719999999998</v>
      </c>
      <c r="O43" s="16">
        <v>4.3932380000000002</v>
      </c>
      <c r="P43" s="16">
        <v>4.4726759999999999</v>
      </c>
      <c r="Q43" s="16">
        <v>4.5720999999999998</v>
      </c>
      <c r="R43" s="16">
        <v>4.6682790000000001</v>
      </c>
      <c r="S43" s="16">
        <v>4.7607140000000001</v>
      </c>
      <c r="T43" s="16">
        <v>4.862158</v>
      </c>
      <c r="U43" s="16">
        <v>4.9622510000000002</v>
      </c>
      <c r="V43" s="16">
        <v>5.0764230000000001</v>
      </c>
      <c r="W43" s="16">
        <v>5.1895980000000002</v>
      </c>
      <c r="X43" s="16">
        <v>5.3304349999999996</v>
      </c>
      <c r="Y43" s="16">
        <v>5.4608100000000004</v>
      </c>
      <c r="Z43" s="16">
        <v>5.6059089999999996</v>
      </c>
      <c r="AA43" s="16">
        <v>5.7461159999999998</v>
      </c>
      <c r="AB43" s="16">
        <v>5.9026719999999999</v>
      </c>
      <c r="AC43" s="16">
        <v>6.073264</v>
      </c>
      <c r="AD43" s="16">
        <v>6.2424600000000003</v>
      </c>
      <c r="AE43" s="16">
        <v>6.4073310000000001</v>
      </c>
      <c r="AF43" s="16">
        <v>6.5878209999999999</v>
      </c>
      <c r="AG43" s="16">
        <v>6.7672610000000004</v>
      </c>
      <c r="AH43" s="16">
        <v>6.9583849999999998</v>
      </c>
      <c r="AI43" s="16">
        <v>7.1578970000000002</v>
      </c>
      <c r="AJ43" s="16">
        <v>7.362311</v>
      </c>
      <c r="AK43" s="16">
        <v>7.5803529999999997</v>
      </c>
      <c r="AL43" s="13">
        <v>2.5888000000000001E-2</v>
      </c>
    </row>
    <row r="44" spans="1:38" ht="15" customHeight="1" x14ac:dyDescent="0.25">
      <c r="A44" s="7" t="s">
        <v>57</v>
      </c>
      <c r="B44" s="11" t="s">
        <v>44</v>
      </c>
      <c r="C44" s="13" t="s">
        <v>9</v>
      </c>
      <c r="D44" s="13" t="s">
        <v>9</v>
      </c>
      <c r="E44" s="13" t="s">
        <v>9</v>
      </c>
      <c r="F44" s="13" t="s">
        <v>9</v>
      </c>
      <c r="G44" s="13" t="s">
        <v>9</v>
      </c>
      <c r="H44" s="13" t="s">
        <v>9</v>
      </c>
      <c r="I44" s="13" t="s">
        <v>9</v>
      </c>
      <c r="J44" s="13" t="s">
        <v>9</v>
      </c>
      <c r="K44" s="13" t="s">
        <v>9</v>
      </c>
      <c r="L44" s="13" t="s">
        <v>9</v>
      </c>
      <c r="M44" s="13" t="s">
        <v>9</v>
      </c>
      <c r="N44" s="13" t="s">
        <v>9</v>
      </c>
      <c r="O44" s="13" t="s">
        <v>9</v>
      </c>
      <c r="P44" s="13" t="s">
        <v>9</v>
      </c>
      <c r="Q44" s="13" t="s">
        <v>9</v>
      </c>
      <c r="R44" s="13" t="s">
        <v>9</v>
      </c>
      <c r="S44" s="13" t="s">
        <v>9</v>
      </c>
      <c r="T44" s="13" t="s">
        <v>9</v>
      </c>
      <c r="U44" s="13" t="s">
        <v>9</v>
      </c>
      <c r="V44" s="13" t="s">
        <v>9</v>
      </c>
      <c r="W44" s="13" t="s">
        <v>9</v>
      </c>
      <c r="X44" s="13" t="s">
        <v>9</v>
      </c>
      <c r="Y44" s="13" t="s">
        <v>9</v>
      </c>
      <c r="Z44" s="13" t="s">
        <v>9</v>
      </c>
      <c r="AA44" s="13" t="s">
        <v>9</v>
      </c>
      <c r="AB44" s="13" t="s">
        <v>9</v>
      </c>
      <c r="AC44" s="13" t="s">
        <v>9</v>
      </c>
      <c r="AD44" s="13" t="s">
        <v>9</v>
      </c>
      <c r="AE44" s="13" t="s">
        <v>9</v>
      </c>
      <c r="AF44" s="13" t="s">
        <v>9</v>
      </c>
      <c r="AG44" s="13" t="s">
        <v>9</v>
      </c>
      <c r="AH44" s="13" t="s">
        <v>9</v>
      </c>
      <c r="AI44" s="13" t="s">
        <v>9</v>
      </c>
      <c r="AJ44" s="13" t="s">
        <v>9</v>
      </c>
      <c r="AK44" s="13" t="s">
        <v>9</v>
      </c>
      <c r="AL44" s="13" t="s">
        <v>9</v>
      </c>
    </row>
    <row r="45" spans="1:38" ht="15" customHeight="1" x14ac:dyDescent="0.25">
      <c r="A45" s="7" t="s">
        <v>58</v>
      </c>
      <c r="B45" s="11" t="s">
        <v>46</v>
      </c>
      <c r="C45" s="16">
        <v>19.856387999999999</v>
      </c>
      <c r="D45" s="16">
        <v>21.383452999999999</v>
      </c>
      <c r="E45" s="16">
        <v>21.938824</v>
      </c>
      <c r="F45" s="16">
        <v>22.136761</v>
      </c>
      <c r="G45" s="16">
        <v>23.100753999999998</v>
      </c>
      <c r="H45" s="16">
        <v>23.602851999999999</v>
      </c>
      <c r="I45" s="16">
        <v>24.235529</v>
      </c>
      <c r="J45" s="16">
        <v>24.790593999999999</v>
      </c>
      <c r="K45" s="16">
        <v>25.434694</v>
      </c>
      <c r="L45" s="16">
        <v>26.362013000000001</v>
      </c>
      <c r="M45" s="16">
        <v>27.018034</v>
      </c>
      <c r="N45" s="16">
        <v>27.640381000000001</v>
      </c>
      <c r="O45" s="16">
        <v>28.249027000000002</v>
      </c>
      <c r="P45" s="16">
        <v>28.869554999999998</v>
      </c>
      <c r="Q45" s="16">
        <v>29.523486999999999</v>
      </c>
      <c r="R45" s="16">
        <v>30.24736</v>
      </c>
      <c r="S45" s="16">
        <v>30.874832000000001</v>
      </c>
      <c r="T45" s="16">
        <v>31.485855000000001</v>
      </c>
      <c r="U45" s="16">
        <v>32.130989</v>
      </c>
      <c r="V45" s="16">
        <v>32.789741999999997</v>
      </c>
      <c r="W45" s="16">
        <v>33.528171999999998</v>
      </c>
      <c r="X45" s="16">
        <v>34.249454</v>
      </c>
      <c r="Y45" s="16">
        <v>35.026676000000002</v>
      </c>
      <c r="Z45" s="16">
        <v>35.819941999999998</v>
      </c>
      <c r="AA45" s="16">
        <v>36.584671</v>
      </c>
      <c r="AB45" s="16">
        <v>37.374881999999999</v>
      </c>
      <c r="AC45" s="16">
        <v>38.184314999999998</v>
      </c>
      <c r="AD45" s="16">
        <v>39.004162000000001</v>
      </c>
      <c r="AE45" s="16">
        <v>39.895336</v>
      </c>
      <c r="AF45" s="16">
        <v>40.808098000000001</v>
      </c>
      <c r="AG45" s="16">
        <v>41.683418000000003</v>
      </c>
      <c r="AH45" s="16">
        <v>42.633361999999998</v>
      </c>
      <c r="AI45" s="16">
        <v>43.784916000000003</v>
      </c>
      <c r="AJ45" s="16">
        <v>44.892924999999998</v>
      </c>
      <c r="AK45" s="16">
        <v>45.862717000000004</v>
      </c>
      <c r="AL45" s="13">
        <v>2.3392E-2</v>
      </c>
    </row>
    <row r="48" spans="1:38" ht="15" customHeight="1" x14ac:dyDescent="0.25">
      <c r="B48" s="10" t="s">
        <v>59</v>
      </c>
    </row>
    <row r="49" spans="1:38" ht="15" customHeight="1" x14ac:dyDescent="0.25">
      <c r="B49" s="10" t="s">
        <v>60</v>
      </c>
    </row>
    <row r="50" spans="1:38" ht="15" customHeight="1" x14ac:dyDescent="0.25">
      <c r="A50" s="7" t="s">
        <v>61</v>
      </c>
      <c r="B50" s="11" t="s">
        <v>62</v>
      </c>
      <c r="C50" s="16">
        <v>0.40529999999999999</v>
      </c>
      <c r="D50" s="16">
        <v>0.3836</v>
      </c>
      <c r="E50" s="16">
        <v>0.44019999999999998</v>
      </c>
      <c r="F50" s="16">
        <v>0.204789</v>
      </c>
      <c r="G50" s="16">
        <v>0.20383699999999999</v>
      </c>
      <c r="H50" s="16">
        <v>0.20491500000000001</v>
      </c>
      <c r="I50" s="16">
        <v>0.20626</v>
      </c>
      <c r="J50" s="16">
        <v>0.207566</v>
      </c>
      <c r="K50" s="16">
        <v>0.20934700000000001</v>
      </c>
      <c r="L50" s="16">
        <v>0.210817</v>
      </c>
      <c r="M50" s="16">
        <v>0.212225</v>
      </c>
      <c r="N50" s="16">
        <v>0.21366399999999999</v>
      </c>
      <c r="O50" s="16">
        <v>0.21487999999999999</v>
      </c>
      <c r="P50" s="16">
        <v>0.21571899999999999</v>
      </c>
      <c r="Q50" s="16">
        <v>0.21668799999999999</v>
      </c>
      <c r="R50" s="16">
        <v>0.217805</v>
      </c>
      <c r="S50" s="16">
        <v>0.219003</v>
      </c>
      <c r="T50" s="16">
        <v>0.21926899999999999</v>
      </c>
      <c r="U50" s="16">
        <v>0.220246</v>
      </c>
      <c r="V50" s="16">
        <v>0.22128100000000001</v>
      </c>
      <c r="W50" s="16">
        <v>0.222465</v>
      </c>
      <c r="X50" s="16">
        <v>0.22369800000000001</v>
      </c>
      <c r="Y50" s="16">
        <v>0.22506699999999999</v>
      </c>
      <c r="Z50" s="16">
        <v>0.226356</v>
      </c>
      <c r="AA50" s="16">
        <v>0.22783100000000001</v>
      </c>
      <c r="AB50" s="16">
        <v>0.22931799999999999</v>
      </c>
      <c r="AC50" s="16">
        <v>0.23061799999999999</v>
      </c>
      <c r="AD50" s="16">
        <v>0.23200100000000001</v>
      </c>
      <c r="AE50" s="16">
        <v>0.233574</v>
      </c>
      <c r="AF50" s="16">
        <v>0.23494000000000001</v>
      </c>
      <c r="AG50" s="16">
        <v>0.23647399999999999</v>
      </c>
      <c r="AH50" s="16">
        <v>0.23794299999999999</v>
      </c>
      <c r="AI50" s="16">
        <v>0.23919199999999999</v>
      </c>
      <c r="AJ50" s="16">
        <v>0.24027299999999999</v>
      </c>
      <c r="AK50" s="16">
        <v>0.24162800000000001</v>
      </c>
      <c r="AL50" s="13">
        <v>-1.3908999999999999E-2</v>
      </c>
    </row>
    <row r="51" spans="1:38" ht="15" customHeight="1" x14ac:dyDescent="0.25">
      <c r="A51" s="7" t="s">
        <v>63</v>
      </c>
      <c r="B51" s="11" t="s">
        <v>64</v>
      </c>
      <c r="C51" s="16">
        <v>2.2709000000000001</v>
      </c>
      <c r="D51" s="16">
        <v>2.3506</v>
      </c>
      <c r="E51" s="16">
        <v>2.5752999999999999</v>
      </c>
      <c r="F51" s="16">
        <v>2.7801999999999998</v>
      </c>
      <c r="G51" s="16">
        <v>2.9331</v>
      </c>
      <c r="H51" s="16">
        <v>3.026233</v>
      </c>
      <c r="I51" s="16">
        <v>3.1117620000000001</v>
      </c>
      <c r="J51" s="16">
        <v>3.212777</v>
      </c>
      <c r="K51" s="16">
        <v>3.3247399999999998</v>
      </c>
      <c r="L51" s="16">
        <v>3.3734639999999998</v>
      </c>
      <c r="M51" s="16">
        <v>3.4078849999999998</v>
      </c>
      <c r="N51" s="16">
        <v>3.460474</v>
      </c>
      <c r="O51" s="16">
        <v>3.5305689999999998</v>
      </c>
      <c r="P51" s="16">
        <v>3.588851</v>
      </c>
      <c r="Q51" s="16">
        <v>3.639386</v>
      </c>
      <c r="R51" s="16">
        <v>3.6833019999999999</v>
      </c>
      <c r="S51" s="16">
        <v>3.7071000000000001</v>
      </c>
      <c r="T51" s="16">
        <v>3.7485080000000002</v>
      </c>
      <c r="U51" s="16">
        <v>3.7598829999999999</v>
      </c>
      <c r="V51" s="16">
        <v>3.7684380000000002</v>
      </c>
      <c r="W51" s="16">
        <v>3.7846220000000002</v>
      </c>
      <c r="X51" s="16">
        <v>3.8188300000000002</v>
      </c>
      <c r="Y51" s="16">
        <v>3.874546</v>
      </c>
      <c r="Z51" s="16">
        <v>3.8877229999999998</v>
      </c>
      <c r="AA51" s="16">
        <v>3.8912209999999998</v>
      </c>
      <c r="AB51" s="16">
        <v>3.90334</v>
      </c>
      <c r="AC51" s="16">
        <v>3.8959130000000002</v>
      </c>
      <c r="AD51" s="16">
        <v>3.8962430000000001</v>
      </c>
      <c r="AE51" s="16">
        <v>3.8979970000000002</v>
      </c>
      <c r="AF51" s="16">
        <v>3.9023050000000001</v>
      </c>
      <c r="AG51" s="16">
        <v>3.8991380000000002</v>
      </c>
      <c r="AH51" s="16">
        <v>3.9040650000000001</v>
      </c>
      <c r="AI51" s="16">
        <v>3.906911</v>
      </c>
      <c r="AJ51" s="16">
        <v>3.907238</v>
      </c>
      <c r="AK51" s="16">
        <v>3.9134180000000001</v>
      </c>
      <c r="AL51" s="13">
        <v>1.5566999999999999E-2</v>
      </c>
    </row>
    <row r="52" spans="1:38" ht="15" customHeight="1" x14ac:dyDescent="0.25">
      <c r="A52" s="7" t="s">
        <v>65</v>
      </c>
      <c r="B52" s="11" t="s">
        <v>28</v>
      </c>
      <c r="C52" s="16">
        <v>0.26290000000000002</v>
      </c>
      <c r="D52" s="16">
        <v>0.2621</v>
      </c>
      <c r="E52" s="16">
        <v>0.26340000000000002</v>
      </c>
      <c r="F52" s="16">
        <v>0.26779799999999998</v>
      </c>
      <c r="G52" s="16">
        <v>0.27004600000000001</v>
      </c>
      <c r="H52" s="16">
        <v>0.27185900000000002</v>
      </c>
      <c r="I52" s="16">
        <v>0.27365499999999998</v>
      </c>
      <c r="J52" s="16">
        <v>0.27491100000000002</v>
      </c>
      <c r="K52" s="16">
        <v>0.27620099999999997</v>
      </c>
      <c r="L52" s="16">
        <v>0.27696799999999999</v>
      </c>
      <c r="M52" s="16">
        <v>0.27828700000000001</v>
      </c>
      <c r="N52" s="16">
        <v>0.280003</v>
      </c>
      <c r="O52" s="16">
        <v>0.280337</v>
      </c>
      <c r="P52" s="16">
        <v>0.281227</v>
      </c>
      <c r="Q52" s="16">
        <v>0.28184900000000002</v>
      </c>
      <c r="R52" s="16">
        <v>0.283003</v>
      </c>
      <c r="S52" s="16">
        <v>0.28421600000000002</v>
      </c>
      <c r="T52" s="16">
        <v>0.28481299999999998</v>
      </c>
      <c r="U52" s="16">
        <v>0.28576299999999999</v>
      </c>
      <c r="V52" s="16">
        <v>0.28659899999999999</v>
      </c>
      <c r="W52" s="16">
        <v>0.28759299999999999</v>
      </c>
      <c r="X52" s="16">
        <v>0.28885899999999998</v>
      </c>
      <c r="Y52" s="16">
        <v>0.28994799999999998</v>
      </c>
      <c r="Z52" s="16">
        <v>0.29144199999999998</v>
      </c>
      <c r="AA52" s="16">
        <v>0.293068</v>
      </c>
      <c r="AB52" s="16">
        <v>0.29454000000000002</v>
      </c>
      <c r="AC52" s="16">
        <v>0.29616399999999998</v>
      </c>
      <c r="AD52" s="16">
        <v>0.297649</v>
      </c>
      <c r="AE52" s="16">
        <v>0.29895300000000002</v>
      </c>
      <c r="AF52" s="16">
        <v>0.29982199999999998</v>
      </c>
      <c r="AG52" s="16">
        <v>0.30083700000000002</v>
      </c>
      <c r="AH52" s="16">
        <v>0.30225400000000002</v>
      </c>
      <c r="AI52" s="16">
        <v>0.30349199999999998</v>
      </c>
      <c r="AJ52" s="16">
        <v>0.30477900000000002</v>
      </c>
      <c r="AK52" s="16">
        <v>0.30627900000000002</v>
      </c>
      <c r="AL52" s="13">
        <v>4.731E-3</v>
      </c>
    </row>
    <row r="53" spans="1:38" ht="15" customHeight="1" x14ac:dyDescent="0.25">
      <c r="A53" s="7" t="s">
        <v>66</v>
      </c>
      <c r="B53" s="11" t="s">
        <v>30</v>
      </c>
      <c r="C53" s="16">
        <v>1.1391290000000001</v>
      </c>
      <c r="D53" s="16">
        <v>1.157429</v>
      </c>
      <c r="E53" s="16">
        <v>1.183729</v>
      </c>
      <c r="F53" s="16">
        <v>1.2166790000000001</v>
      </c>
      <c r="G53" s="16">
        <v>1.2319560000000001</v>
      </c>
      <c r="H53" s="16">
        <v>1.2459560000000001</v>
      </c>
      <c r="I53" s="16">
        <v>1.259668</v>
      </c>
      <c r="J53" s="16">
        <v>1.27223</v>
      </c>
      <c r="K53" s="16">
        <v>1.2886869999999999</v>
      </c>
      <c r="L53" s="16">
        <v>1.298942</v>
      </c>
      <c r="M53" s="16">
        <v>1.309115</v>
      </c>
      <c r="N53" s="16">
        <v>1.318492</v>
      </c>
      <c r="O53" s="16">
        <v>1.3297319999999999</v>
      </c>
      <c r="P53" s="16">
        <v>1.33718</v>
      </c>
      <c r="Q53" s="16">
        <v>1.345424</v>
      </c>
      <c r="R53" s="16">
        <v>1.354465</v>
      </c>
      <c r="S53" s="16">
        <v>1.3606720000000001</v>
      </c>
      <c r="T53" s="16">
        <v>1.3658459999999999</v>
      </c>
      <c r="U53" s="16">
        <v>1.3750359999999999</v>
      </c>
      <c r="V53" s="16">
        <v>1.3849819999999999</v>
      </c>
      <c r="W53" s="16">
        <v>1.3954219999999999</v>
      </c>
      <c r="X53" s="16">
        <v>1.4057379999999999</v>
      </c>
      <c r="Y53" s="16">
        <v>1.4185300000000001</v>
      </c>
      <c r="Z53" s="16">
        <v>1.4292039999999999</v>
      </c>
      <c r="AA53" s="16">
        <v>1.4418789999999999</v>
      </c>
      <c r="AB53" s="16">
        <v>1.456143</v>
      </c>
      <c r="AC53" s="16">
        <v>1.467535</v>
      </c>
      <c r="AD53" s="16">
        <v>1.4804010000000001</v>
      </c>
      <c r="AE53" s="16">
        <v>1.494041</v>
      </c>
      <c r="AF53" s="16">
        <v>1.5063439999999999</v>
      </c>
      <c r="AG53" s="16">
        <v>1.520216</v>
      </c>
      <c r="AH53" s="16">
        <v>1.5343720000000001</v>
      </c>
      <c r="AI53" s="16">
        <v>1.546889</v>
      </c>
      <c r="AJ53" s="16">
        <v>1.5583579999999999</v>
      </c>
      <c r="AK53" s="16">
        <v>1.5715520000000001</v>
      </c>
      <c r="AL53" s="13">
        <v>9.3120000000000008E-3</v>
      </c>
    </row>
    <row r="54" spans="1:38" ht="15" customHeight="1" x14ac:dyDescent="0.25">
      <c r="A54" s="7" t="s">
        <v>67</v>
      </c>
      <c r="B54" s="11" t="s">
        <v>32</v>
      </c>
      <c r="C54" s="16">
        <v>4.4678000000000002E-2</v>
      </c>
      <c r="D54" s="16">
        <v>4.4878000000000001E-2</v>
      </c>
      <c r="E54" s="16">
        <v>4.4378000000000001E-2</v>
      </c>
      <c r="F54" s="16">
        <v>4.2909000000000003E-2</v>
      </c>
      <c r="G54" s="16">
        <v>3.9368E-2</v>
      </c>
      <c r="H54" s="16">
        <v>3.7721999999999999E-2</v>
      </c>
      <c r="I54" s="16">
        <v>3.653E-2</v>
      </c>
      <c r="J54" s="16">
        <v>3.5504000000000001E-2</v>
      </c>
      <c r="K54" s="16">
        <v>3.4647999999999998E-2</v>
      </c>
      <c r="L54" s="16">
        <v>3.4250000000000003E-2</v>
      </c>
      <c r="M54" s="16">
        <v>3.3756000000000001E-2</v>
      </c>
      <c r="N54" s="16">
        <v>3.3369000000000003E-2</v>
      </c>
      <c r="O54" s="16">
        <v>3.2920999999999999E-2</v>
      </c>
      <c r="P54" s="16">
        <v>3.3186E-2</v>
      </c>
      <c r="Q54" s="16">
        <v>3.3422E-2</v>
      </c>
      <c r="R54" s="16">
        <v>3.3665E-2</v>
      </c>
      <c r="S54" s="16">
        <v>3.3831E-2</v>
      </c>
      <c r="T54" s="16">
        <v>3.3980999999999997E-2</v>
      </c>
      <c r="U54" s="16">
        <v>3.4202000000000003E-2</v>
      </c>
      <c r="V54" s="16">
        <v>3.4404999999999998E-2</v>
      </c>
      <c r="W54" s="16">
        <v>3.4708999999999997E-2</v>
      </c>
      <c r="X54" s="16">
        <v>3.4942000000000001E-2</v>
      </c>
      <c r="Y54" s="16">
        <v>3.5136000000000001E-2</v>
      </c>
      <c r="Z54" s="16">
        <v>3.5395000000000003E-2</v>
      </c>
      <c r="AA54" s="16">
        <v>3.5718E-2</v>
      </c>
      <c r="AB54" s="16">
        <v>3.6034999999999998E-2</v>
      </c>
      <c r="AC54" s="16">
        <v>3.6337000000000001E-2</v>
      </c>
      <c r="AD54" s="16">
        <v>3.6606E-2</v>
      </c>
      <c r="AE54" s="16">
        <v>3.6888999999999998E-2</v>
      </c>
      <c r="AF54" s="16">
        <v>3.7067999999999997E-2</v>
      </c>
      <c r="AG54" s="16">
        <v>3.7344000000000002E-2</v>
      </c>
      <c r="AH54" s="16">
        <v>3.7670000000000002E-2</v>
      </c>
      <c r="AI54" s="16">
        <v>3.7929999999999998E-2</v>
      </c>
      <c r="AJ54" s="16">
        <v>3.8206999999999998E-2</v>
      </c>
      <c r="AK54" s="16">
        <v>3.8505999999999999E-2</v>
      </c>
      <c r="AL54" s="13">
        <v>-4.6299999999999996E-3</v>
      </c>
    </row>
    <row r="55" spans="1:38" ht="15" customHeight="1" x14ac:dyDescent="0.25">
      <c r="A55" s="7" t="s">
        <v>68</v>
      </c>
      <c r="B55" s="11" t="s">
        <v>69</v>
      </c>
      <c r="C55" s="16">
        <v>0.64249999999999996</v>
      </c>
      <c r="D55" s="16">
        <v>0.71120000000000005</v>
      </c>
      <c r="E55" s="16">
        <v>0.73360000000000003</v>
      </c>
      <c r="F55" s="16">
        <v>0.80151899999999998</v>
      </c>
      <c r="G55" s="16">
        <v>0.85491399999999995</v>
      </c>
      <c r="H55" s="16">
        <v>0.89084300000000005</v>
      </c>
      <c r="I55" s="16">
        <v>0.92745699999999998</v>
      </c>
      <c r="J55" s="16">
        <v>0.97170900000000004</v>
      </c>
      <c r="K55" s="16">
        <v>1.0215860000000001</v>
      </c>
      <c r="L55" s="16">
        <v>1.0466139999999999</v>
      </c>
      <c r="M55" s="16">
        <v>1.0646679999999999</v>
      </c>
      <c r="N55" s="16">
        <v>1.089299</v>
      </c>
      <c r="O55" s="16">
        <v>1.1212409999999999</v>
      </c>
      <c r="P55" s="16">
        <v>1.1494359999999999</v>
      </c>
      <c r="Q55" s="16">
        <v>1.1741250000000001</v>
      </c>
      <c r="R55" s="16">
        <v>1.1956830000000001</v>
      </c>
      <c r="S55" s="16">
        <v>1.208448</v>
      </c>
      <c r="T55" s="16">
        <v>1.228037</v>
      </c>
      <c r="U55" s="16">
        <v>1.2347790000000001</v>
      </c>
      <c r="V55" s="16">
        <v>1.239385</v>
      </c>
      <c r="W55" s="16">
        <v>1.2473240000000001</v>
      </c>
      <c r="X55" s="16">
        <v>1.2636810000000001</v>
      </c>
      <c r="Y55" s="16">
        <v>1.291112</v>
      </c>
      <c r="Z55" s="16">
        <v>1.29959</v>
      </c>
      <c r="AA55" s="16">
        <v>1.3005850000000001</v>
      </c>
      <c r="AB55" s="16">
        <v>1.3077369999999999</v>
      </c>
      <c r="AC55" s="16">
        <v>1.305369</v>
      </c>
      <c r="AD55" s="16">
        <v>1.305688</v>
      </c>
      <c r="AE55" s="16">
        <v>1.3065599999999999</v>
      </c>
      <c r="AF55" s="16">
        <v>1.308335</v>
      </c>
      <c r="AG55" s="16">
        <v>1.307523</v>
      </c>
      <c r="AH55" s="16">
        <v>1.3095950000000001</v>
      </c>
      <c r="AI55" s="16">
        <v>1.31202</v>
      </c>
      <c r="AJ55" s="16">
        <v>1.3125739999999999</v>
      </c>
      <c r="AK55" s="16">
        <v>1.31636</v>
      </c>
      <c r="AL55" s="13">
        <v>1.8832000000000002E-2</v>
      </c>
    </row>
    <row r="56" spans="1:38" ht="15" customHeight="1" x14ac:dyDescent="0.25">
      <c r="A56" s="7" t="s">
        <v>70</v>
      </c>
      <c r="B56" s="11" t="s">
        <v>71</v>
      </c>
      <c r="C56" s="16">
        <v>0.11475399999999999</v>
      </c>
      <c r="D56" s="16">
        <v>0.187496</v>
      </c>
      <c r="E56" s="16">
        <v>0.24424100000000001</v>
      </c>
      <c r="F56" s="16">
        <v>0.228043</v>
      </c>
      <c r="G56" s="16">
        <v>0.188777</v>
      </c>
      <c r="H56" s="16">
        <v>0.171849</v>
      </c>
      <c r="I56" s="16">
        <v>0.162721</v>
      </c>
      <c r="J56" s="16">
        <v>0.15705</v>
      </c>
      <c r="K56" s="16">
        <v>0.15440100000000001</v>
      </c>
      <c r="L56" s="16">
        <v>0.15354300000000001</v>
      </c>
      <c r="M56" s="16">
        <v>0.15038299999999999</v>
      </c>
      <c r="N56" s="16">
        <v>0.14834900000000001</v>
      </c>
      <c r="O56" s="16">
        <v>0.14552599999999999</v>
      </c>
      <c r="P56" s="16">
        <v>0.145205</v>
      </c>
      <c r="Q56" s="16">
        <v>0.143957</v>
      </c>
      <c r="R56" s="16">
        <v>0.142204</v>
      </c>
      <c r="S56" s="16">
        <v>0.14094599999999999</v>
      </c>
      <c r="T56" s="16">
        <v>0.139185</v>
      </c>
      <c r="U56" s="16">
        <v>0.137434</v>
      </c>
      <c r="V56" s="16">
        <v>0.13395499999999999</v>
      </c>
      <c r="W56" s="16">
        <v>0.135603</v>
      </c>
      <c r="X56" s="16">
        <v>0.13478299999999999</v>
      </c>
      <c r="Y56" s="16">
        <v>0.13595699999999999</v>
      </c>
      <c r="Z56" s="16">
        <v>0.13619700000000001</v>
      </c>
      <c r="AA56" s="16">
        <v>0.13639799999999999</v>
      </c>
      <c r="AB56" s="16">
        <v>0.13687099999999999</v>
      </c>
      <c r="AC56" s="16">
        <v>0.13723099999999999</v>
      </c>
      <c r="AD56" s="16">
        <v>0.137576</v>
      </c>
      <c r="AE56" s="16">
        <v>0.137908</v>
      </c>
      <c r="AF56" s="16">
        <v>0.138048</v>
      </c>
      <c r="AG56" s="16">
        <v>0.13838400000000001</v>
      </c>
      <c r="AH56" s="16">
        <v>0.13836200000000001</v>
      </c>
      <c r="AI56" s="16">
        <v>0.138187</v>
      </c>
      <c r="AJ56" s="16">
        <v>0.13841600000000001</v>
      </c>
      <c r="AK56" s="16">
        <v>0.13845399999999999</v>
      </c>
      <c r="AL56" s="13">
        <v>-9.1459999999999996E-3</v>
      </c>
    </row>
    <row r="57" spans="1:38" ht="15" customHeight="1" x14ac:dyDescent="0.25">
      <c r="A57" s="7" t="s">
        <v>72</v>
      </c>
      <c r="B57" s="11" t="s">
        <v>34</v>
      </c>
      <c r="C57" s="16">
        <v>0.85340000000000005</v>
      </c>
      <c r="D57" s="16">
        <v>0.86119999999999997</v>
      </c>
      <c r="E57" s="16">
        <v>0.89629999999999999</v>
      </c>
      <c r="F57" s="16">
        <v>0.90278400000000003</v>
      </c>
      <c r="G57" s="16">
        <v>0.88510500000000003</v>
      </c>
      <c r="H57" s="16">
        <v>0.89126000000000005</v>
      </c>
      <c r="I57" s="16">
        <v>0.90472600000000003</v>
      </c>
      <c r="J57" s="16">
        <v>0.92659599999999998</v>
      </c>
      <c r="K57" s="16">
        <v>0.94505600000000001</v>
      </c>
      <c r="L57" s="16">
        <v>0.95850000000000002</v>
      </c>
      <c r="M57" s="16">
        <v>0.97343299999999999</v>
      </c>
      <c r="N57" s="16">
        <v>0.98915699999999995</v>
      </c>
      <c r="O57" s="16">
        <v>1.0075989999999999</v>
      </c>
      <c r="P57" s="16">
        <v>1.030616</v>
      </c>
      <c r="Q57" s="16">
        <v>1.058378</v>
      </c>
      <c r="R57" s="16">
        <v>1.0878300000000001</v>
      </c>
      <c r="S57" s="16">
        <v>1.1113310000000001</v>
      </c>
      <c r="T57" s="16">
        <v>1.136539</v>
      </c>
      <c r="U57" s="16">
        <v>1.1632690000000001</v>
      </c>
      <c r="V57" s="16">
        <v>1.189006</v>
      </c>
      <c r="W57" s="16">
        <v>1.21397</v>
      </c>
      <c r="X57" s="16">
        <v>1.2401009999999999</v>
      </c>
      <c r="Y57" s="16">
        <v>1.266904</v>
      </c>
      <c r="Z57" s="16">
        <v>1.2940860000000001</v>
      </c>
      <c r="AA57" s="16">
        <v>1.3224480000000001</v>
      </c>
      <c r="AB57" s="16">
        <v>1.3513839999999999</v>
      </c>
      <c r="AC57" s="16">
        <v>1.3810260000000001</v>
      </c>
      <c r="AD57" s="16">
        <v>1.4116340000000001</v>
      </c>
      <c r="AE57" s="16">
        <v>1.4431130000000001</v>
      </c>
      <c r="AF57" s="16">
        <v>1.475392</v>
      </c>
      <c r="AG57" s="16">
        <v>1.508229</v>
      </c>
      <c r="AH57" s="16">
        <v>1.5418970000000001</v>
      </c>
      <c r="AI57" s="16">
        <v>1.5768660000000001</v>
      </c>
      <c r="AJ57" s="16">
        <v>1.6124579999999999</v>
      </c>
      <c r="AK57" s="16">
        <v>1.648828</v>
      </c>
      <c r="AL57" s="13">
        <v>1.9876999999999999E-2</v>
      </c>
    </row>
    <row r="58" spans="1:38" ht="15" customHeight="1" x14ac:dyDescent="0.25">
      <c r="A58" s="7" t="s">
        <v>73</v>
      </c>
      <c r="B58" s="11" t="s">
        <v>74</v>
      </c>
      <c r="C58" s="16">
        <v>0.36670000000000003</v>
      </c>
      <c r="D58" s="16">
        <v>0.36909999999999998</v>
      </c>
      <c r="E58" s="16">
        <v>0.37419999999999998</v>
      </c>
      <c r="F58" s="16">
        <v>0.38907199999999997</v>
      </c>
      <c r="G58" s="16">
        <v>0.35533900000000002</v>
      </c>
      <c r="H58" s="16">
        <v>0.33837699999999998</v>
      </c>
      <c r="I58" s="16">
        <v>0.33751100000000001</v>
      </c>
      <c r="J58" s="16">
        <v>0.344559</v>
      </c>
      <c r="K58" s="16">
        <v>0.35926000000000002</v>
      </c>
      <c r="L58" s="16">
        <v>0.36894199999999999</v>
      </c>
      <c r="M58" s="16">
        <v>0.37099700000000002</v>
      </c>
      <c r="N58" s="16">
        <v>0.37576100000000001</v>
      </c>
      <c r="O58" s="16">
        <v>0.37885600000000003</v>
      </c>
      <c r="P58" s="16">
        <v>0.37878899999999999</v>
      </c>
      <c r="Q58" s="16">
        <v>0.37725500000000001</v>
      </c>
      <c r="R58" s="16">
        <v>0.37464700000000001</v>
      </c>
      <c r="S58" s="16">
        <v>0.37334000000000001</v>
      </c>
      <c r="T58" s="16">
        <v>0.370697</v>
      </c>
      <c r="U58" s="16">
        <v>0.36813499999999999</v>
      </c>
      <c r="V58" s="16">
        <v>0.36539199999999999</v>
      </c>
      <c r="W58" s="16">
        <v>0.36879699999999999</v>
      </c>
      <c r="X58" s="16">
        <v>0.36527599999999999</v>
      </c>
      <c r="Y58" s="16">
        <v>0.36751600000000001</v>
      </c>
      <c r="Z58" s="16">
        <v>0.36663099999999998</v>
      </c>
      <c r="AA58" s="16">
        <v>0.36554199999999998</v>
      </c>
      <c r="AB58" s="16">
        <v>0.36541299999999999</v>
      </c>
      <c r="AC58" s="16">
        <v>0.36606899999999998</v>
      </c>
      <c r="AD58" s="16">
        <v>0.36617899999999998</v>
      </c>
      <c r="AE58" s="16">
        <v>0.36724299999999999</v>
      </c>
      <c r="AF58" s="16">
        <v>0.36797400000000002</v>
      </c>
      <c r="AG58" s="16">
        <v>0.36984</v>
      </c>
      <c r="AH58" s="16">
        <v>0.37094199999999999</v>
      </c>
      <c r="AI58" s="16">
        <v>0.37179099999999998</v>
      </c>
      <c r="AJ58" s="16">
        <v>0.37315100000000001</v>
      </c>
      <c r="AK58" s="16">
        <v>0.374141</v>
      </c>
      <c r="AL58" s="13">
        <v>4.1100000000000002E-4</v>
      </c>
    </row>
    <row r="59" spans="1:38" ht="15" customHeight="1" x14ac:dyDescent="0.25">
      <c r="A59" s="7" t="s">
        <v>75</v>
      </c>
      <c r="B59" s="11" t="s">
        <v>76</v>
      </c>
      <c r="C59" s="16">
        <v>6.1002619999999999</v>
      </c>
      <c r="D59" s="16">
        <v>6.327604</v>
      </c>
      <c r="E59" s="16">
        <v>6.7553479999999997</v>
      </c>
      <c r="F59" s="16">
        <v>6.833793</v>
      </c>
      <c r="G59" s="16">
        <v>6.9624410000000001</v>
      </c>
      <c r="H59" s="16">
        <v>7.0790150000000001</v>
      </c>
      <c r="I59" s="16">
        <v>7.2202909999999996</v>
      </c>
      <c r="J59" s="16">
        <v>7.4029020000000001</v>
      </c>
      <c r="K59" s="16">
        <v>7.6139270000000003</v>
      </c>
      <c r="L59" s="16">
        <v>7.7220399999999998</v>
      </c>
      <c r="M59" s="16">
        <v>7.8007479999999996</v>
      </c>
      <c r="N59" s="16">
        <v>7.9085679999999998</v>
      </c>
      <c r="O59" s="16">
        <v>8.0416589999999992</v>
      </c>
      <c r="P59" s="16">
        <v>8.1602110000000003</v>
      </c>
      <c r="Q59" s="16">
        <v>8.2704850000000008</v>
      </c>
      <c r="R59" s="16">
        <v>8.3726029999999998</v>
      </c>
      <c r="S59" s="16">
        <v>8.4388869999999994</v>
      </c>
      <c r="T59" s="16">
        <v>8.5268750000000004</v>
      </c>
      <c r="U59" s="16">
        <v>8.5787449999999996</v>
      </c>
      <c r="V59" s="16">
        <v>8.6234420000000007</v>
      </c>
      <c r="W59" s="16">
        <v>8.6905040000000007</v>
      </c>
      <c r="X59" s="16">
        <v>8.7759079999999994</v>
      </c>
      <c r="Y59" s="16">
        <v>8.9047169999999998</v>
      </c>
      <c r="Z59" s="16">
        <v>8.9666239999999995</v>
      </c>
      <c r="AA59" s="16">
        <v>9.0146899999999999</v>
      </c>
      <c r="AB59" s="16">
        <v>9.0807819999999992</v>
      </c>
      <c r="AC59" s="16">
        <v>9.1162609999999997</v>
      </c>
      <c r="AD59" s="16">
        <v>9.1639780000000002</v>
      </c>
      <c r="AE59" s="16">
        <v>9.2162780000000009</v>
      </c>
      <c r="AF59" s="16">
        <v>9.2702270000000002</v>
      </c>
      <c r="AG59" s="16">
        <v>9.3179859999999994</v>
      </c>
      <c r="AH59" s="16">
        <v>9.3771000000000004</v>
      </c>
      <c r="AI59" s="16">
        <v>9.4332770000000004</v>
      </c>
      <c r="AJ59" s="16">
        <v>9.485455</v>
      </c>
      <c r="AK59" s="16">
        <v>9.5491650000000003</v>
      </c>
      <c r="AL59" s="13">
        <v>1.2548999999999999E-2</v>
      </c>
    </row>
    <row r="60" spans="1:38" ht="15" customHeight="1" x14ac:dyDescent="0.25">
      <c r="A60" s="7" t="s">
        <v>77</v>
      </c>
      <c r="B60" s="11" t="s">
        <v>36</v>
      </c>
      <c r="C60" s="16">
        <v>5.8483280000000004</v>
      </c>
      <c r="D60" s="16">
        <v>5.788081</v>
      </c>
      <c r="E60" s="16">
        <v>5.9929670000000002</v>
      </c>
      <c r="F60" s="16">
        <v>6.166601</v>
      </c>
      <c r="G60" s="16">
        <v>6.4198069999999996</v>
      </c>
      <c r="H60" s="16">
        <v>6.5729680000000004</v>
      </c>
      <c r="I60" s="16">
        <v>6.6755519999999997</v>
      </c>
      <c r="J60" s="16">
        <v>6.7573420000000004</v>
      </c>
      <c r="K60" s="16">
        <v>6.8045989999999996</v>
      </c>
      <c r="L60" s="16">
        <v>6.8262669999999996</v>
      </c>
      <c r="M60" s="16">
        <v>6.8713949999999997</v>
      </c>
      <c r="N60" s="16">
        <v>6.9269340000000001</v>
      </c>
      <c r="O60" s="16">
        <v>6.9981020000000003</v>
      </c>
      <c r="P60" s="16">
        <v>7.0646230000000001</v>
      </c>
      <c r="Q60" s="16">
        <v>7.1183249999999996</v>
      </c>
      <c r="R60" s="16">
        <v>7.1716290000000003</v>
      </c>
      <c r="S60" s="16">
        <v>7.2061469999999996</v>
      </c>
      <c r="T60" s="16">
        <v>7.2651190000000003</v>
      </c>
      <c r="U60" s="16">
        <v>7.3127409999999999</v>
      </c>
      <c r="V60" s="16">
        <v>7.3672250000000004</v>
      </c>
      <c r="W60" s="16">
        <v>7.4066010000000002</v>
      </c>
      <c r="X60" s="16">
        <v>7.4809429999999999</v>
      </c>
      <c r="Y60" s="16">
        <v>7.5478529999999999</v>
      </c>
      <c r="Z60" s="16">
        <v>7.5989620000000002</v>
      </c>
      <c r="AA60" s="16">
        <v>7.6549449999999997</v>
      </c>
      <c r="AB60" s="16">
        <v>7.7184699999999999</v>
      </c>
      <c r="AC60" s="16">
        <v>7.7602180000000001</v>
      </c>
      <c r="AD60" s="16">
        <v>7.8029070000000003</v>
      </c>
      <c r="AE60" s="16">
        <v>7.8408749999999996</v>
      </c>
      <c r="AF60" s="16">
        <v>7.8795380000000002</v>
      </c>
      <c r="AG60" s="16">
        <v>7.9085219999999996</v>
      </c>
      <c r="AH60" s="16">
        <v>7.9493929999999997</v>
      </c>
      <c r="AI60" s="16">
        <v>7.9914480000000001</v>
      </c>
      <c r="AJ60" s="16">
        <v>8.0347950000000008</v>
      </c>
      <c r="AK60" s="16">
        <v>8.09511</v>
      </c>
      <c r="AL60" s="13">
        <v>1.0217E-2</v>
      </c>
    </row>
    <row r="61" spans="1:38" ht="15" customHeight="1" x14ac:dyDescent="0.25">
      <c r="A61" s="7" t="s">
        <v>78</v>
      </c>
      <c r="B61" s="11" t="s">
        <v>38</v>
      </c>
      <c r="C61" s="16">
        <v>0.7</v>
      </c>
      <c r="D61" s="16">
        <v>0.82599999999999996</v>
      </c>
      <c r="E61" s="16">
        <v>0.89400000000000002</v>
      </c>
      <c r="F61" s="16">
        <v>0.94699999999999995</v>
      </c>
      <c r="G61" s="16">
        <v>0.95799999999999996</v>
      </c>
      <c r="H61" s="16">
        <v>0.97700699999999996</v>
      </c>
      <c r="I61" s="16">
        <v>0.99451400000000001</v>
      </c>
      <c r="J61" s="16">
        <v>1.0159929999999999</v>
      </c>
      <c r="K61" s="16">
        <v>1.038842</v>
      </c>
      <c r="L61" s="16">
        <v>1.050915</v>
      </c>
      <c r="M61" s="16">
        <v>1.0605389999999999</v>
      </c>
      <c r="N61" s="16">
        <v>1.07222</v>
      </c>
      <c r="O61" s="16">
        <v>1.0828880000000001</v>
      </c>
      <c r="P61" s="16">
        <v>1.0919669999999999</v>
      </c>
      <c r="Q61" s="16">
        <v>1.0970759999999999</v>
      </c>
      <c r="R61" s="16">
        <v>1.103769</v>
      </c>
      <c r="S61" s="16">
        <v>1.1144590000000001</v>
      </c>
      <c r="T61" s="16">
        <v>1.11873</v>
      </c>
      <c r="U61" s="16">
        <v>1.1209690000000001</v>
      </c>
      <c r="V61" s="16">
        <v>1.122716</v>
      </c>
      <c r="W61" s="16">
        <v>1.1279159999999999</v>
      </c>
      <c r="X61" s="16">
        <v>1.135875</v>
      </c>
      <c r="Y61" s="16">
        <v>1.1481479999999999</v>
      </c>
      <c r="Z61" s="16">
        <v>1.1525289999999999</v>
      </c>
      <c r="AA61" s="16">
        <v>1.1540600000000001</v>
      </c>
      <c r="AB61" s="16">
        <v>1.1555489999999999</v>
      </c>
      <c r="AC61" s="16">
        <v>1.154123</v>
      </c>
      <c r="AD61" s="16">
        <v>1.1543300000000001</v>
      </c>
      <c r="AE61" s="16">
        <v>1.1551400000000001</v>
      </c>
      <c r="AF61" s="16">
        <v>1.1560299999999999</v>
      </c>
      <c r="AG61" s="16">
        <v>1.1554489999999999</v>
      </c>
      <c r="AH61" s="16">
        <v>1.156898</v>
      </c>
      <c r="AI61" s="16">
        <v>1.1584099999999999</v>
      </c>
      <c r="AJ61" s="16">
        <v>1.159826</v>
      </c>
      <c r="AK61" s="16">
        <v>1.16178</v>
      </c>
      <c r="AL61" s="13">
        <v>1.039E-2</v>
      </c>
    </row>
    <row r="62" spans="1:38" ht="15" customHeight="1" x14ac:dyDescent="0.25">
      <c r="A62" s="7" t="s">
        <v>79</v>
      </c>
      <c r="B62" s="11" t="s">
        <v>80</v>
      </c>
      <c r="C62" s="16">
        <v>1.6486890000000001</v>
      </c>
      <c r="D62" s="16">
        <v>1.670296</v>
      </c>
      <c r="E62" s="16">
        <v>1.7867150000000001</v>
      </c>
      <c r="F62" s="16">
        <v>1.8824669999999999</v>
      </c>
      <c r="G62" s="16">
        <v>1.937797</v>
      </c>
      <c r="H62" s="16">
        <v>1.973096</v>
      </c>
      <c r="I62" s="16">
        <v>1.9984200000000001</v>
      </c>
      <c r="J62" s="16">
        <v>2.0188929999999998</v>
      </c>
      <c r="K62" s="16">
        <v>2.038713</v>
      </c>
      <c r="L62" s="16">
        <v>2.056597</v>
      </c>
      <c r="M62" s="16">
        <v>2.0847150000000001</v>
      </c>
      <c r="N62" s="16">
        <v>2.1002619999999999</v>
      </c>
      <c r="O62" s="16">
        <v>2.122325</v>
      </c>
      <c r="P62" s="16">
        <v>2.1302460000000001</v>
      </c>
      <c r="Q62" s="16">
        <v>2.138379</v>
      </c>
      <c r="R62" s="16">
        <v>2.1453929999999999</v>
      </c>
      <c r="S62" s="16">
        <v>2.1495709999999999</v>
      </c>
      <c r="T62" s="16">
        <v>2.1503800000000002</v>
      </c>
      <c r="U62" s="16">
        <v>2.1620949999999999</v>
      </c>
      <c r="V62" s="16">
        <v>2.1671429999999998</v>
      </c>
      <c r="W62" s="16">
        <v>2.1782180000000002</v>
      </c>
      <c r="X62" s="16">
        <v>2.1997369999999998</v>
      </c>
      <c r="Y62" s="16">
        <v>2.2033299999999998</v>
      </c>
      <c r="Z62" s="16">
        <v>2.2133259999999999</v>
      </c>
      <c r="AA62" s="16">
        <v>2.236494</v>
      </c>
      <c r="AB62" s="16">
        <v>2.2448830000000002</v>
      </c>
      <c r="AC62" s="16">
        <v>2.2535720000000001</v>
      </c>
      <c r="AD62" s="16">
        <v>2.262454</v>
      </c>
      <c r="AE62" s="16">
        <v>2.2677390000000002</v>
      </c>
      <c r="AF62" s="16">
        <v>2.2673410000000001</v>
      </c>
      <c r="AG62" s="16">
        <v>2.2740119999999999</v>
      </c>
      <c r="AH62" s="16">
        <v>2.286206</v>
      </c>
      <c r="AI62" s="16">
        <v>2.2967529999999998</v>
      </c>
      <c r="AJ62" s="16">
        <v>2.3024710000000002</v>
      </c>
      <c r="AK62" s="16">
        <v>2.3118460000000001</v>
      </c>
      <c r="AL62" s="13">
        <v>9.8989999999999998E-3</v>
      </c>
    </row>
    <row r="63" spans="1:38" ht="15" customHeight="1" x14ac:dyDescent="0.25">
      <c r="A63" s="7" t="s">
        <v>81</v>
      </c>
      <c r="B63" s="11" t="s">
        <v>1965</v>
      </c>
      <c r="C63" s="16">
        <v>1.9356999999999999E-2</v>
      </c>
      <c r="D63" s="16">
        <v>6.9542000000000007E-2</v>
      </c>
      <c r="E63" s="16">
        <v>0.11519500000000001</v>
      </c>
      <c r="F63" s="16">
        <v>0.20156399999999999</v>
      </c>
      <c r="G63" s="16">
        <v>0.31427100000000002</v>
      </c>
      <c r="H63" s="16">
        <v>0.327013</v>
      </c>
      <c r="I63" s="16">
        <v>0.34773300000000001</v>
      </c>
      <c r="J63" s="16">
        <v>0.38917299999999999</v>
      </c>
      <c r="K63" s="16">
        <v>0.43752000000000002</v>
      </c>
      <c r="L63" s="16">
        <v>0.47896</v>
      </c>
      <c r="M63" s="16">
        <v>0.50658700000000001</v>
      </c>
      <c r="N63" s="16">
        <v>0.53421300000000005</v>
      </c>
      <c r="O63" s="16">
        <v>0.54802700000000004</v>
      </c>
      <c r="P63" s="16">
        <v>0.55493300000000001</v>
      </c>
      <c r="Q63" s="16">
        <v>0.55493300000000001</v>
      </c>
      <c r="R63" s="16">
        <v>0.55493300000000001</v>
      </c>
      <c r="S63" s="16">
        <v>0.55493300000000001</v>
      </c>
      <c r="T63" s="16">
        <v>0.55493300000000001</v>
      </c>
      <c r="U63" s="16">
        <v>0.55493300000000001</v>
      </c>
      <c r="V63" s="16">
        <v>0.55493300000000001</v>
      </c>
      <c r="W63" s="16">
        <v>0.55493300000000001</v>
      </c>
      <c r="X63" s="16">
        <v>0.55493300000000001</v>
      </c>
      <c r="Y63" s="16">
        <v>0.55493300000000001</v>
      </c>
      <c r="Z63" s="16">
        <v>0.55493300000000001</v>
      </c>
      <c r="AA63" s="16">
        <v>0.55493300000000001</v>
      </c>
      <c r="AB63" s="16">
        <v>0.55493300000000001</v>
      </c>
      <c r="AC63" s="16">
        <v>0.55493300000000001</v>
      </c>
      <c r="AD63" s="16">
        <v>0.55493300000000001</v>
      </c>
      <c r="AE63" s="16">
        <v>0.55493300000000001</v>
      </c>
      <c r="AF63" s="16">
        <v>0.55493300000000001</v>
      </c>
      <c r="AG63" s="16">
        <v>0.55493300000000001</v>
      </c>
      <c r="AH63" s="16">
        <v>0.55493300000000001</v>
      </c>
      <c r="AI63" s="16">
        <v>0.55493300000000001</v>
      </c>
      <c r="AJ63" s="16">
        <v>0.55493300000000001</v>
      </c>
      <c r="AK63" s="16">
        <v>0.55493300000000001</v>
      </c>
      <c r="AL63" s="13">
        <v>6.4960000000000004E-2</v>
      </c>
    </row>
    <row r="64" spans="1:38" ht="15" customHeight="1" x14ac:dyDescent="0.25">
      <c r="A64" s="7" t="s">
        <v>82</v>
      </c>
      <c r="B64" s="11" t="s">
        <v>83</v>
      </c>
      <c r="C64" s="16">
        <v>8.2163730000000008</v>
      </c>
      <c r="D64" s="16">
        <v>8.3539180000000002</v>
      </c>
      <c r="E64" s="16">
        <v>8.7888769999999994</v>
      </c>
      <c r="F64" s="16">
        <v>9.1976329999999997</v>
      </c>
      <c r="G64" s="16">
        <v>9.6298750000000002</v>
      </c>
      <c r="H64" s="16">
        <v>9.8500829999999997</v>
      </c>
      <c r="I64" s="16">
        <v>10.016219</v>
      </c>
      <c r="J64" s="16">
        <v>10.181400999999999</v>
      </c>
      <c r="K64" s="16">
        <v>10.319673999999999</v>
      </c>
      <c r="L64" s="16">
        <v>10.412739</v>
      </c>
      <c r="M64" s="16">
        <v>10.523235</v>
      </c>
      <c r="N64" s="16">
        <v>10.633629000000001</v>
      </c>
      <c r="O64" s="16">
        <v>10.751343</v>
      </c>
      <c r="P64" s="16">
        <v>10.84177</v>
      </c>
      <c r="Q64" s="16">
        <v>10.908714</v>
      </c>
      <c r="R64" s="16">
        <v>10.975725000000001</v>
      </c>
      <c r="S64" s="16">
        <v>11.02511</v>
      </c>
      <c r="T64" s="16">
        <v>11.089162999999999</v>
      </c>
      <c r="U64" s="16">
        <v>11.150739</v>
      </c>
      <c r="V64" s="16">
        <v>11.212016999999999</v>
      </c>
      <c r="W64" s="16">
        <v>11.267669</v>
      </c>
      <c r="X64" s="16">
        <v>11.37149</v>
      </c>
      <c r="Y64" s="16">
        <v>11.454264</v>
      </c>
      <c r="Z64" s="16">
        <v>11.519750999999999</v>
      </c>
      <c r="AA64" s="16">
        <v>11.600432</v>
      </c>
      <c r="AB64" s="16">
        <v>11.673835</v>
      </c>
      <c r="AC64" s="16">
        <v>11.722846000000001</v>
      </c>
      <c r="AD64" s="16">
        <v>11.774625</v>
      </c>
      <c r="AE64" s="16">
        <v>11.818687000000001</v>
      </c>
      <c r="AF64" s="16">
        <v>11.857842</v>
      </c>
      <c r="AG64" s="16">
        <v>11.892917000000001</v>
      </c>
      <c r="AH64" s="16">
        <v>11.947430000000001</v>
      </c>
      <c r="AI64" s="16">
        <v>12.001545</v>
      </c>
      <c r="AJ64" s="16">
        <v>12.052026</v>
      </c>
      <c r="AK64" s="16">
        <v>12.123669</v>
      </c>
      <c r="AL64" s="13">
        <v>1.1350000000000001E-2</v>
      </c>
    </row>
    <row r="65" spans="1:38" ht="15" customHeight="1" x14ac:dyDescent="0.25">
      <c r="A65" s="7" t="s">
        <v>84</v>
      </c>
      <c r="B65" s="11" t="s">
        <v>85</v>
      </c>
      <c r="C65" s="16">
        <v>0.4511</v>
      </c>
      <c r="D65" s="16">
        <v>0.50739999999999996</v>
      </c>
      <c r="E65" s="16">
        <v>0.42852400000000002</v>
      </c>
      <c r="F65" s="16">
        <v>0.42698999999999998</v>
      </c>
      <c r="G65" s="16">
        <v>0.46410499999999999</v>
      </c>
      <c r="H65" s="16">
        <v>0.44707999999999998</v>
      </c>
      <c r="I65" s="16">
        <v>0.40729599999999999</v>
      </c>
      <c r="J65" s="16">
        <v>0.40053</v>
      </c>
      <c r="K65" s="16">
        <v>0.41114299999999998</v>
      </c>
      <c r="L65" s="16">
        <v>0.418987</v>
      </c>
      <c r="M65" s="16">
        <v>0.42236299999999999</v>
      </c>
      <c r="N65" s="16">
        <v>0.429226</v>
      </c>
      <c r="O65" s="16">
        <v>0.435363</v>
      </c>
      <c r="P65" s="16">
        <v>0.43128499999999997</v>
      </c>
      <c r="Q65" s="16">
        <v>0.44652500000000001</v>
      </c>
      <c r="R65" s="16">
        <v>0.45771600000000001</v>
      </c>
      <c r="S65" s="16">
        <v>0.46304299999999998</v>
      </c>
      <c r="T65" s="16">
        <v>0.47432200000000002</v>
      </c>
      <c r="U65" s="16">
        <v>0.48215000000000002</v>
      </c>
      <c r="V65" s="16">
        <v>0.49151099999999998</v>
      </c>
      <c r="W65" s="16">
        <v>0.492896</v>
      </c>
      <c r="X65" s="16">
        <v>0.50299199999999999</v>
      </c>
      <c r="Y65" s="16">
        <v>0.50071600000000005</v>
      </c>
      <c r="Z65" s="16">
        <v>0.50109800000000004</v>
      </c>
      <c r="AA65" s="16">
        <v>0.50207299999999999</v>
      </c>
      <c r="AB65" s="16">
        <v>0.50522800000000001</v>
      </c>
      <c r="AC65" s="16">
        <v>0.50485000000000002</v>
      </c>
      <c r="AD65" s="16">
        <v>0.50678199999999995</v>
      </c>
      <c r="AE65" s="16">
        <v>0.50212800000000002</v>
      </c>
      <c r="AF65" s="16">
        <v>0.49911299999999997</v>
      </c>
      <c r="AG65" s="16">
        <v>0.49638700000000002</v>
      </c>
      <c r="AH65" s="16">
        <v>0.49812899999999999</v>
      </c>
      <c r="AI65" s="16">
        <v>0.50339900000000004</v>
      </c>
      <c r="AJ65" s="16">
        <v>0.50222199999999995</v>
      </c>
      <c r="AK65" s="16">
        <v>0.49612600000000001</v>
      </c>
      <c r="AL65" s="13">
        <v>-6.8099999999999996E-4</v>
      </c>
    </row>
    <row r="66" spans="1:38" ht="15" customHeight="1" x14ac:dyDescent="0.25">
      <c r="A66" s="7" t="s">
        <v>86</v>
      </c>
      <c r="B66" s="11" t="s">
        <v>42</v>
      </c>
      <c r="C66" s="16">
        <v>0.66731799999999997</v>
      </c>
      <c r="D66" s="16">
        <v>0.62364600000000003</v>
      </c>
      <c r="E66" s="16">
        <v>0.64278900000000005</v>
      </c>
      <c r="F66" s="16">
        <v>0.66922300000000001</v>
      </c>
      <c r="G66" s="16">
        <v>0.69459000000000004</v>
      </c>
      <c r="H66" s="16">
        <v>0.70310600000000001</v>
      </c>
      <c r="I66" s="16">
        <v>0.71086099999999997</v>
      </c>
      <c r="J66" s="16">
        <v>0.71738800000000003</v>
      </c>
      <c r="K66" s="16">
        <v>0.72569499999999998</v>
      </c>
      <c r="L66" s="16">
        <v>0.72442700000000004</v>
      </c>
      <c r="M66" s="16">
        <v>0.72235300000000002</v>
      </c>
      <c r="N66" s="16">
        <v>0.71925799999999995</v>
      </c>
      <c r="O66" s="16">
        <v>0.71516100000000005</v>
      </c>
      <c r="P66" s="16">
        <v>0.70510499999999998</v>
      </c>
      <c r="Q66" s="16">
        <v>0.69911199999999996</v>
      </c>
      <c r="R66" s="16">
        <v>0.69409900000000002</v>
      </c>
      <c r="S66" s="16">
        <v>0.68623000000000001</v>
      </c>
      <c r="T66" s="16">
        <v>0.68003199999999997</v>
      </c>
      <c r="U66" s="16">
        <v>0.67447100000000004</v>
      </c>
      <c r="V66" s="16">
        <v>0.66770200000000002</v>
      </c>
      <c r="W66" s="16">
        <v>0.66753200000000001</v>
      </c>
      <c r="X66" s="16">
        <v>0.66749400000000003</v>
      </c>
      <c r="Y66" s="16">
        <v>0.66666300000000001</v>
      </c>
      <c r="Z66" s="16">
        <v>0.66508599999999996</v>
      </c>
      <c r="AA66" s="16">
        <v>0.66487600000000002</v>
      </c>
      <c r="AB66" s="16">
        <v>0.66560200000000003</v>
      </c>
      <c r="AC66" s="16">
        <v>0.66496200000000005</v>
      </c>
      <c r="AD66" s="16">
        <v>0.66464900000000005</v>
      </c>
      <c r="AE66" s="16">
        <v>0.66437100000000004</v>
      </c>
      <c r="AF66" s="16">
        <v>0.66459800000000002</v>
      </c>
      <c r="AG66" s="16">
        <v>0.66507499999999997</v>
      </c>
      <c r="AH66" s="16">
        <v>0.665717</v>
      </c>
      <c r="AI66" s="16">
        <v>0.66647299999999998</v>
      </c>
      <c r="AJ66" s="16">
        <v>0.66608100000000003</v>
      </c>
      <c r="AK66" s="16">
        <v>0.66522599999999998</v>
      </c>
      <c r="AL66" s="13">
        <v>1.9580000000000001E-3</v>
      </c>
    </row>
    <row r="67" spans="1:38" ht="15" customHeight="1" x14ac:dyDescent="0.25">
      <c r="A67" s="7" t="s">
        <v>87</v>
      </c>
      <c r="B67" s="11" t="s">
        <v>88</v>
      </c>
      <c r="C67" s="16">
        <v>1.1184179999999999</v>
      </c>
      <c r="D67" s="16">
        <v>1.131046</v>
      </c>
      <c r="E67" s="16">
        <v>1.071313</v>
      </c>
      <c r="F67" s="16">
        <v>1.0962130000000001</v>
      </c>
      <c r="G67" s="16">
        <v>1.158695</v>
      </c>
      <c r="H67" s="16">
        <v>1.1501859999999999</v>
      </c>
      <c r="I67" s="16">
        <v>1.1181559999999999</v>
      </c>
      <c r="J67" s="16">
        <v>1.117918</v>
      </c>
      <c r="K67" s="16">
        <v>1.136838</v>
      </c>
      <c r="L67" s="16">
        <v>1.1434139999999999</v>
      </c>
      <c r="M67" s="16">
        <v>1.1447160000000001</v>
      </c>
      <c r="N67" s="16">
        <v>1.1484829999999999</v>
      </c>
      <c r="O67" s="16">
        <v>1.1505240000000001</v>
      </c>
      <c r="P67" s="16">
        <v>1.13639</v>
      </c>
      <c r="Q67" s="16">
        <v>1.1456379999999999</v>
      </c>
      <c r="R67" s="16">
        <v>1.1518139999999999</v>
      </c>
      <c r="S67" s="16">
        <v>1.149273</v>
      </c>
      <c r="T67" s="16">
        <v>1.1543540000000001</v>
      </c>
      <c r="U67" s="16">
        <v>1.1566209999999999</v>
      </c>
      <c r="V67" s="16">
        <v>1.159213</v>
      </c>
      <c r="W67" s="16">
        <v>1.160428</v>
      </c>
      <c r="X67" s="16">
        <v>1.1704859999999999</v>
      </c>
      <c r="Y67" s="16">
        <v>1.167378</v>
      </c>
      <c r="Z67" s="16">
        <v>1.1661840000000001</v>
      </c>
      <c r="AA67" s="16">
        <v>1.1669499999999999</v>
      </c>
      <c r="AB67" s="16">
        <v>1.17083</v>
      </c>
      <c r="AC67" s="16">
        <v>1.1698120000000001</v>
      </c>
      <c r="AD67" s="16">
        <v>1.17143</v>
      </c>
      <c r="AE67" s="16">
        <v>1.166499</v>
      </c>
      <c r="AF67" s="16">
        <v>1.1637109999999999</v>
      </c>
      <c r="AG67" s="16">
        <v>1.1614629999999999</v>
      </c>
      <c r="AH67" s="16">
        <v>1.163845</v>
      </c>
      <c r="AI67" s="16">
        <v>1.169872</v>
      </c>
      <c r="AJ67" s="16">
        <v>1.168302</v>
      </c>
      <c r="AK67" s="16">
        <v>1.1613519999999999</v>
      </c>
      <c r="AL67" s="13">
        <v>8.0199999999999998E-4</v>
      </c>
    </row>
    <row r="68" spans="1:38" ht="15" customHeight="1" x14ac:dyDescent="0.25">
      <c r="A68" s="7" t="s">
        <v>89</v>
      </c>
      <c r="B68" s="11" t="s">
        <v>90</v>
      </c>
      <c r="C68" s="16">
        <v>1.469233</v>
      </c>
      <c r="D68" s="16">
        <v>1.459233</v>
      </c>
      <c r="E68" s="16">
        <v>1.4164330000000001</v>
      </c>
      <c r="F68" s="16">
        <v>1.4860139999999999</v>
      </c>
      <c r="G68" s="16">
        <v>1.5552649999999999</v>
      </c>
      <c r="H68" s="16">
        <v>1.600317</v>
      </c>
      <c r="I68" s="16">
        <v>1.647076</v>
      </c>
      <c r="J68" s="16">
        <v>1.690185</v>
      </c>
      <c r="K68" s="16">
        <v>1.733206</v>
      </c>
      <c r="L68" s="16">
        <v>1.760251</v>
      </c>
      <c r="M68" s="16">
        <v>1.7946759999999999</v>
      </c>
      <c r="N68" s="16">
        <v>1.8364100000000001</v>
      </c>
      <c r="O68" s="16">
        <v>1.882612</v>
      </c>
      <c r="P68" s="16">
        <v>1.9215420000000001</v>
      </c>
      <c r="Q68" s="16">
        <v>1.971759</v>
      </c>
      <c r="R68" s="16">
        <v>2.0215770000000002</v>
      </c>
      <c r="S68" s="16">
        <v>2.0649220000000001</v>
      </c>
      <c r="T68" s="16">
        <v>2.1000809999999999</v>
      </c>
      <c r="U68" s="16">
        <v>2.1372070000000001</v>
      </c>
      <c r="V68" s="16">
        <v>2.165003</v>
      </c>
      <c r="W68" s="16">
        <v>2.2017600000000002</v>
      </c>
      <c r="X68" s="16">
        <v>2.232297</v>
      </c>
      <c r="Y68" s="16">
        <v>2.265584</v>
      </c>
      <c r="Z68" s="16">
        <v>2.2999830000000001</v>
      </c>
      <c r="AA68" s="16">
        <v>2.3384119999999999</v>
      </c>
      <c r="AB68" s="16">
        <v>2.3817490000000001</v>
      </c>
      <c r="AC68" s="16">
        <v>2.421907</v>
      </c>
      <c r="AD68" s="16">
        <v>2.4586239999999999</v>
      </c>
      <c r="AE68" s="16">
        <v>2.4959790000000002</v>
      </c>
      <c r="AF68" s="16">
        <v>2.529992</v>
      </c>
      <c r="AG68" s="16">
        <v>2.563129</v>
      </c>
      <c r="AH68" s="16">
        <v>2.5985079999999998</v>
      </c>
      <c r="AI68" s="16">
        <v>2.6284459999999998</v>
      </c>
      <c r="AJ68" s="16">
        <v>2.6546370000000001</v>
      </c>
      <c r="AK68" s="16">
        <v>2.6843360000000001</v>
      </c>
      <c r="AL68" s="13">
        <v>1.8641999999999999E-2</v>
      </c>
    </row>
    <row r="69" spans="1:38" ht="15" customHeight="1" x14ac:dyDescent="0.25">
      <c r="A69" s="7" t="s">
        <v>91</v>
      </c>
      <c r="B69" s="11" t="s">
        <v>92</v>
      </c>
      <c r="C69" s="16">
        <v>2.9958079999999998</v>
      </c>
      <c r="D69" s="16">
        <v>3.0277080000000001</v>
      </c>
      <c r="E69" s="16">
        <v>3.0728080000000002</v>
      </c>
      <c r="F69" s="16">
        <v>3.195649</v>
      </c>
      <c r="G69" s="16">
        <v>3.283277</v>
      </c>
      <c r="H69" s="16">
        <v>3.3389720000000001</v>
      </c>
      <c r="I69" s="16">
        <v>3.3962979999999998</v>
      </c>
      <c r="J69" s="16">
        <v>3.4575170000000002</v>
      </c>
      <c r="K69" s="16">
        <v>3.5206300000000001</v>
      </c>
      <c r="L69" s="16">
        <v>3.5543650000000002</v>
      </c>
      <c r="M69" s="16">
        <v>3.5892930000000001</v>
      </c>
      <c r="N69" s="16">
        <v>3.6307800000000001</v>
      </c>
      <c r="O69" s="16">
        <v>3.6691129999999998</v>
      </c>
      <c r="P69" s="16">
        <v>3.6924060000000001</v>
      </c>
      <c r="Q69" s="16">
        <v>3.709171</v>
      </c>
      <c r="R69" s="16">
        <v>3.7252040000000002</v>
      </c>
      <c r="S69" s="16">
        <v>3.736577</v>
      </c>
      <c r="T69" s="16">
        <v>3.7523719999999998</v>
      </c>
      <c r="U69" s="16">
        <v>3.769021</v>
      </c>
      <c r="V69" s="16">
        <v>3.7891279999999998</v>
      </c>
      <c r="W69" s="16">
        <v>3.8119160000000001</v>
      </c>
      <c r="X69" s="16">
        <v>3.8364729999999998</v>
      </c>
      <c r="Y69" s="16">
        <v>3.8640599999999998</v>
      </c>
      <c r="Z69" s="16">
        <v>3.8840240000000001</v>
      </c>
      <c r="AA69" s="16">
        <v>3.9067539999999998</v>
      </c>
      <c r="AB69" s="16">
        <v>3.9319510000000002</v>
      </c>
      <c r="AC69" s="16">
        <v>3.9500109999999999</v>
      </c>
      <c r="AD69" s="16">
        <v>3.9665400000000002</v>
      </c>
      <c r="AE69" s="16">
        <v>3.9812940000000001</v>
      </c>
      <c r="AF69" s="16">
        <v>3.9943420000000001</v>
      </c>
      <c r="AG69" s="16">
        <v>4.0124399999999998</v>
      </c>
      <c r="AH69" s="16">
        <v>4.0274159999999997</v>
      </c>
      <c r="AI69" s="16">
        <v>4.036988</v>
      </c>
      <c r="AJ69" s="16">
        <v>4.0452459999999997</v>
      </c>
      <c r="AK69" s="16">
        <v>4.0579010000000002</v>
      </c>
      <c r="AL69" s="13">
        <v>8.914E-3</v>
      </c>
    </row>
    <row r="70" spans="1:38" ht="15" customHeight="1" x14ac:dyDescent="0.25">
      <c r="A70" s="7" t="s">
        <v>93</v>
      </c>
      <c r="B70" s="10" t="s">
        <v>94</v>
      </c>
      <c r="C70" s="17">
        <v>19.900095</v>
      </c>
      <c r="D70" s="17">
        <v>20.299509</v>
      </c>
      <c r="E70" s="17">
        <v>21.104778</v>
      </c>
      <c r="F70" s="17">
        <v>21.809301000000001</v>
      </c>
      <c r="G70" s="17">
        <v>22.589554</v>
      </c>
      <c r="H70" s="17">
        <v>23.018574000000001</v>
      </c>
      <c r="I70" s="17">
        <v>23.398039000000001</v>
      </c>
      <c r="J70" s="17">
        <v>23.849921999999999</v>
      </c>
      <c r="K70" s="17">
        <v>24.324276000000001</v>
      </c>
      <c r="L70" s="17">
        <v>24.592808000000002</v>
      </c>
      <c r="M70" s="17">
        <v>24.852668999999999</v>
      </c>
      <c r="N70" s="17">
        <v>25.157871</v>
      </c>
      <c r="O70" s="17">
        <v>25.495251</v>
      </c>
      <c r="P70" s="17">
        <v>25.752319</v>
      </c>
      <c r="Q70" s="17">
        <v>26.005768</v>
      </c>
      <c r="R70" s="17">
        <v>26.246922000000001</v>
      </c>
      <c r="S70" s="17">
        <v>26.414767999999999</v>
      </c>
      <c r="T70" s="17">
        <v>26.622845000000002</v>
      </c>
      <c r="U70" s="17">
        <v>26.792331999999998</v>
      </c>
      <c r="V70" s="17">
        <v>26.948803000000002</v>
      </c>
      <c r="W70" s="17">
        <v>27.132275</v>
      </c>
      <c r="X70" s="17">
        <v>27.386654</v>
      </c>
      <c r="Y70" s="17">
        <v>27.656003999999999</v>
      </c>
      <c r="Z70" s="17">
        <v>27.836563000000002</v>
      </c>
      <c r="AA70" s="17">
        <v>28.027241</v>
      </c>
      <c r="AB70" s="17">
        <v>28.239146999999999</v>
      </c>
      <c r="AC70" s="17">
        <v>28.380835999999999</v>
      </c>
      <c r="AD70" s="17">
        <v>28.535195999999999</v>
      </c>
      <c r="AE70" s="17">
        <v>28.678737999999999</v>
      </c>
      <c r="AF70" s="17">
        <v>28.816116000000001</v>
      </c>
      <c r="AG70" s="17">
        <v>28.947935000000001</v>
      </c>
      <c r="AH70" s="17">
        <v>29.1143</v>
      </c>
      <c r="AI70" s="17">
        <v>29.270128</v>
      </c>
      <c r="AJ70" s="17">
        <v>29.405664000000002</v>
      </c>
      <c r="AK70" s="17">
        <v>29.576422000000001</v>
      </c>
      <c r="AL70" s="15">
        <v>1.1471E-2</v>
      </c>
    </row>
    <row r="71" spans="1:38" ht="15" customHeight="1" x14ac:dyDescent="0.25">
      <c r="A71" s="7" t="s">
        <v>95</v>
      </c>
      <c r="B71" s="11" t="s">
        <v>96</v>
      </c>
      <c r="C71" s="16">
        <v>5.9777319999999996</v>
      </c>
      <c r="D71" s="16">
        <v>5.9538929999999999</v>
      </c>
      <c r="E71" s="16">
        <v>6.0054509999999999</v>
      </c>
      <c r="F71" s="16">
        <v>6.1962080000000004</v>
      </c>
      <c r="G71" s="16">
        <v>6.3458370000000004</v>
      </c>
      <c r="H71" s="16">
        <v>6.4003490000000003</v>
      </c>
      <c r="I71" s="16">
        <v>6.4577879999999999</v>
      </c>
      <c r="J71" s="16">
        <v>6.5189089999999998</v>
      </c>
      <c r="K71" s="16">
        <v>6.634538</v>
      </c>
      <c r="L71" s="16">
        <v>6.6818499999999998</v>
      </c>
      <c r="M71" s="16">
        <v>6.734369</v>
      </c>
      <c r="N71" s="16">
        <v>6.7919850000000004</v>
      </c>
      <c r="O71" s="16">
        <v>6.8400400000000001</v>
      </c>
      <c r="P71" s="16">
        <v>6.8693989999999996</v>
      </c>
      <c r="Q71" s="16">
        <v>6.8791120000000001</v>
      </c>
      <c r="R71" s="16">
        <v>6.87636</v>
      </c>
      <c r="S71" s="16">
        <v>6.878171</v>
      </c>
      <c r="T71" s="16">
        <v>6.895454</v>
      </c>
      <c r="U71" s="16">
        <v>6.906269</v>
      </c>
      <c r="V71" s="16">
        <v>6.9343110000000001</v>
      </c>
      <c r="W71" s="16">
        <v>6.9571769999999997</v>
      </c>
      <c r="X71" s="16">
        <v>6.9850620000000001</v>
      </c>
      <c r="Y71" s="16">
        <v>7.0164330000000001</v>
      </c>
      <c r="Z71" s="16">
        <v>7.0375420000000002</v>
      </c>
      <c r="AA71" s="16">
        <v>7.0640479999999997</v>
      </c>
      <c r="AB71" s="16">
        <v>7.0845510000000003</v>
      </c>
      <c r="AC71" s="16">
        <v>7.0865520000000002</v>
      </c>
      <c r="AD71" s="16">
        <v>7.0912350000000002</v>
      </c>
      <c r="AE71" s="16">
        <v>7.092759</v>
      </c>
      <c r="AF71" s="16">
        <v>7.0832689999999996</v>
      </c>
      <c r="AG71" s="16">
        <v>7.0855329999999999</v>
      </c>
      <c r="AH71" s="16">
        <v>7.0857080000000003</v>
      </c>
      <c r="AI71" s="16">
        <v>7.0789689999999998</v>
      </c>
      <c r="AJ71" s="16">
        <v>7.0725059999999997</v>
      </c>
      <c r="AK71" s="16">
        <v>7.0505579999999997</v>
      </c>
      <c r="AL71" s="13">
        <v>5.1359999999999999E-3</v>
      </c>
    </row>
    <row r="72" spans="1:38" ht="15" customHeight="1" x14ac:dyDescent="0.25">
      <c r="A72" s="7" t="s">
        <v>97</v>
      </c>
      <c r="B72" s="10" t="s">
        <v>24</v>
      </c>
      <c r="C72" s="17">
        <v>25.877827</v>
      </c>
      <c r="D72" s="17">
        <v>26.253402999999999</v>
      </c>
      <c r="E72" s="17">
        <v>27.110229</v>
      </c>
      <c r="F72" s="17">
        <v>28.005507999999999</v>
      </c>
      <c r="G72" s="17">
        <v>28.935390000000002</v>
      </c>
      <c r="H72" s="17">
        <v>29.418921999999998</v>
      </c>
      <c r="I72" s="17">
        <v>29.855827000000001</v>
      </c>
      <c r="J72" s="17">
        <v>30.368832000000001</v>
      </c>
      <c r="K72" s="17">
        <v>30.958815000000001</v>
      </c>
      <c r="L72" s="17">
        <v>31.274657999999999</v>
      </c>
      <c r="M72" s="17">
        <v>31.587038</v>
      </c>
      <c r="N72" s="17">
        <v>31.949856</v>
      </c>
      <c r="O72" s="17">
        <v>32.335289000000003</v>
      </c>
      <c r="P72" s="17">
        <v>32.621718999999999</v>
      </c>
      <c r="Q72" s="17">
        <v>32.884880000000003</v>
      </c>
      <c r="R72" s="17">
        <v>33.123283000000001</v>
      </c>
      <c r="S72" s="17">
        <v>33.292937999999999</v>
      </c>
      <c r="T72" s="17">
        <v>33.518298999999999</v>
      </c>
      <c r="U72" s="17">
        <v>33.698600999999996</v>
      </c>
      <c r="V72" s="17">
        <v>33.883113999999999</v>
      </c>
      <c r="W72" s="17">
        <v>34.089450999999997</v>
      </c>
      <c r="X72" s="17">
        <v>34.371715999999999</v>
      </c>
      <c r="Y72" s="17">
        <v>34.672435999999998</v>
      </c>
      <c r="Z72" s="17">
        <v>34.874107000000002</v>
      </c>
      <c r="AA72" s="17">
        <v>35.091290000000001</v>
      </c>
      <c r="AB72" s="17">
        <v>35.323700000000002</v>
      </c>
      <c r="AC72" s="17">
        <v>35.467388</v>
      </c>
      <c r="AD72" s="17">
        <v>35.626430999999997</v>
      </c>
      <c r="AE72" s="17">
        <v>35.771495999999999</v>
      </c>
      <c r="AF72" s="17">
        <v>35.899383999999998</v>
      </c>
      <c r="AG72" s="17">
        <v>36.033470000000001</v>
      </c>
      <c r="AH72" s="17">
        <v>36.200007999999997</v>
      </c>
      <c r="AI72" s="17">
        <v>36.349097999999998</v>
      </c>
      <c r="AJ72" s="17">
        <v>36.478172000000001</v>
      </c>
      <c r="AK72" s="17">
        <v>36.626980000000003</v>
      </c>
      <c r="AL72" s="15">
        <v>1.0142E-2</v>
      </c>
    </row>
    <row r="75" spans="1:38" ht="15" customHeight="1" x14ac:dyDescent="0.25">
      <c r="B75" s="10" t="s">
        <v>98</v>
      </c>
    </row>
    <row r="76" spans="1:38" ht="15" customHeight="1" x14ac:dyDescent="0.25">
      <c r="A76" s="7" t="s">
        <v>99</v>
      </c>
      <c r="B76" s="11" t="s">
        <v>100</v>
      </c>
      <c r="C76" s="16">
        <v>8.9999999999999993E-3</v>
      </c>
      <c r="D76" s="16">
        <v>8.9999999999999993E-3</v>
      </c>
      <c r="E76" s="16">
        <v>8.9999999999999993E-3</v>
      </c>
      <c r="F76" s="16">
        <v>0</v>
      </c>
      <c r="G76" s="16">
        <v>0</v>
      </c>
      <c r="H76" s="16">
        <v>0</v>
      </c>
      <c r="I76" s="16">
        <v>0</v>
      </c>
      <c r="J76" s="16">
        <v>0</v>
      </c>
      <c r="K76" s="16">
        <v>0</v>
      </c>
      <c r="L76" s="16">
        <v>0</v>
      </c>
      <c r="M76" s="16">
        <v>0</v>
      </c>
      <c r="N76" s="16">
        <v>0</v>
      </c>
      <c r="O76" s="16">
        <v>0</v>
      </c>
      <c r="P76" s="16">
        <v>0</v>
      </c>
      <c r="Q76" s="16">
        <v>0</v>
      </c>
      <c r="R76" s="16">
        <v>0</v>
      </c>
      <c r="S76" s="16">
        <v>0</v>
      </c>
      <c r="T76" s="16">
        <v>0</v>
      </c>
      <c r="U76" s="16">
        <v>0</v>
      </c>
      <c r="V76" s="16">
        <v>0</v>
      </c>
      <c r="W76" s="16">
        <v>0</v>
      </c>
      <c r="X76" s="16">
        <v>0</v>
      </c>
      <c r="Y76" s="16">
        <v>0</v>
      </c>
      <c r="Z76" s="16">
        <v>0</v>
      </c>
      <c r="AA76" s="16">
        <v>0</v>
      </c>
      <c r="AB76" s="16">
        <v>0</v>
      </c>
      <c r="AC76" s="16">
        <v>0</v>
      </c>
      <c r="AD76" s="16">
        <v>0</v>
      </c>
      <c r="AE76" s="16">
        <v>0</v>
      </c>
      <c r="AF76" s="16">
        <v>0</v>
      </c>
      <c r="AG76" s="16">
        <v>0</v>
      </c>
      <c r="AH76" s="16">
        <v>0</v>
      </c>
      <c r="AI76" s="16">
        <v>0</v>
      </c>
      <c r="AJ76" s="16">
        <v>0</v>
      </c>
      <c r="AK76" s="16">
        <v>0</v>
      </c>
      <c r="AL76" s="13" t="s">
        <v>9</v>
      </c>
    </row>
    <row r="77" spans="1:38" ht="15" customHeight="1" x14ac:dyDescent="0.25">
      <c r="A77" s="7" t="s">
        <v>101</v>
      </c>
      <c r="B77" s="11" t="s">
        <v>30</v>
      </c>
      <c r="C77" s="16">
        <v>2.3419999999999999E-3</v>
      </c>
      <c r="D77" s="16">
        <v>2.3419999999999999E-3</v>
      </c>
      <c r="E77" s="16">
        <v>2.3419999999999999E-3</v>
      </c>
      <c r="F77" s="16">
        <v>0</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c r="AC77" s="16">
        <v>0</v>
      </c>
      <c r="AD77" s="16">
        <v>0</v>
      </c>
      <c r="AE77" s="16">
        <v>0</v>
      </c>
      <c r="AF77" s="16">
        <v>0</v>
      </c>
      <c r="AG77" s="16">
        <v>0</v>
      </c>
      <c r="AH77" s="16">
        <v>0</v>
      </c>
      <c r="AI77" s="16">
        <v>0</v>
      </c>
      <c r="AJ77" s="16">
        <v>0</v>
      </c>
      <c r="AK77" s="16">
        <v>0</v>
      </c>
      <c r="AL77" s="13" t="s">
        <v>9</v>
      </c>
    </row>
    <row r="78" spans="1:38" ht="15" customHeight="1" x14ac:dyDescent="0.25">
      <c r="A78" s="7" t="s">
        <v>102</v>
      </c>
      <c r="B78" s="11" t="s">
        <v>32</v>
      </c>
      <c r="C78" s="16">
        <v>1.722E-3</v>
      </c>
      <c r="D78" s="16">
        <v>1.722E-3</v>
      </c>
      <c r="E78" s="16">
        <v>1.722E-3</v>
      </c>
      <c r="F78" s="16">
        <v>0</v>
      </c>
      <c r="G78" s="16">
        <v>0</v>
      </c>
      <c r="H78" s="16">
        <v>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6">
        <v>0</v>
      </c>
      <c r="AE78" s="16">
        <v>0</v>
      </c>
      <c r="AF78" s="16">
        <v>0</v>
      </c>
      <c r="AG78" s="16">
        <v>0</v>
      </c>
      <c r="AH78" s="16">
        <v>0</v>
      </c>
      <c r="AI78" s="16">
        <v>0</v>
      </c>
      <c r="AJ78" s="16">
        <v>0</v>
      </c>
      <c r="AK78" s="16">
        <v>0</v>
      </c>
      <c r="AL78" s="13" t="s">
        <v>9</v>
      </c>
    </row>
    <row r="79" spans="1:38" ht="15" customHeight="1" x14ac:dyDescent="0.25">
      <c r="A79" s="7" t="s">
        <v>103</v>
      </c>
      <c r="B79" s="11" t="s">
        <v>71</v>
      </c>
      <c r="C79" s="16">
        <v>0.53814600000000001</v>
      </c>
      <c r="D79" s="16">
        <v>0.42790400000000001</v>
      </c>
      <c r="E79" s="16">
        <v>0.36665900000000001</v>
      </c>
      <c r="F79" s="16">
        <v>0.38758900000000002</v>
      </c>
      <c r="G79" s="16">
        <v>0.375892</v>
      </c>
      <c r="H79" s="16">
        <v>0.36368499999999998</v>
      </c>
      <c r="I79" s="16">
        <v>0.364176</v>
      </c>
      <c r="J79" s="16">
        <v>0.36067399999999999</v>
      </c>
      <c r="K79" s="16">
        <v>0.36669000000000002</v>
      </c>
      <c r="L79" s="16">
        <v>0.37012699999999998</v>
      </c>
      <c r="M79" s="16">
        <v>0.36469600000000002</v>
      </c>
      <c r="N79" s="16">
        <v>0.36306300000000002</v>
      </c>
      <c r="O79" s="16">
        <v>0.35960500000000001</v>
      </c>
      <c r="P79" s="16">
        <v>0.356319</v>
      </c>
      <c r="Q79" s="16">
        <v>0.35249799999999998</v>
      </c>
      <c r="R79" s="16">
        <v>0.35998200000000002</v>
      </c>
      <c r="S79" s="16">
        <v>0.35641499999999998</v>
      </c>
      <c r="T79" s="16">
        <v>0.35528700000000002</v>
      </c>
      <c r="U79" s="16">
        <v>0.35403400000000002</v>
      </c>
      <c r="V79" s="16">
        <v>0.35487999999999997</v>
      </c>
      <c r="W79" s="16">
        <v>0.35328799999999999</v>
      </c>
      <c r="X79" s="16">
        <v>0.35135300000000003</v>
      </c>
      <c r="Y79" s="16">
        <v>0.35124899999999998</v>
      </c>
      <c r="Z79" s="16">
        <v>0.34758800000000001</v>
      </c>
      <c r="AA79" s="16">
        <v>0.347136</v>
      </c>
      <c r="AB79" s="16">
        <v>0.342524</v>
      </c>
      <c r="AC79" s="16">
        <v>0.33735500000000002</v>
      </c>
      <c r="AD79" s="16">
        <v>0.33219900000000002</v>
      </c>
      <c r="AE79" s="16">
        <v>0.32703700000000002</v>
      </c>
      <c r="AF79" s="16">
        <v>0.32356600000000002</v>
      </c>
      <c r="AG79" s="16">
        <v>0.32143100000000002</v>
      </c>
      <c r="AH79" s="16">
        <v>0.32186999999999999</v>
      </c>
      <c r="AI79" s="16">
        <v>0.32251800000000003</v>
      </c>
      <c r="AJ79" s="16">
        <v>0.32477</v>
      </c>
      <c r="AK79" s="16">
        <v>0.32536599999999999</v>
      </c>
      <c r="AL79" s="13">
        <v>-8.267E-3</v>
      </c>
    </row>
    <row r="80" spans="1:38" ht="15" customHeight="1" x14ac:dyDescent="0.25">
      <c r="A80" s="7" t="s">
        <v>104</v>
      </c>
      <c r="B80" s="11" t="s">
        <v>105</v>
      </c>
      <c r="C80" s="16">
        <v>1.493309</v>
      </c>
      <c r="D80" s="16">
        <v>1.5577719999999999</v>
      </c>
      <c r="E80" s="16">
        <v>1.702812</v>
      </c>
      <c r="F80" s="16">
        <v>1.763134</v>
      </c>
      <c r="G80" s="16">
        <v>1.7792669999999999</v>
      </c>
      <c r="H80" s="16">
        <v>1.7594540000000001</v>
      </c>
      <c r="I80" s="16">
        <v>1.7666949999999999</v>
      </c>
      <c r="J80" s="16">
        <v>1.758087</v>
      </c>
      <c r="K80" s="16">
        <v>1.736497</v>
      </c>
      <c r="L80" s="16">
        <v>1.721689</v>
      </c>
      <c r="M80" s="16">
        <v>1.6956690000000001</v>
      </c>
      <c r="N80" s="16">
        <v>1.707911</v>
      </c>
      <c r="O80" s="16">
        <v>1.7104839999999999</v>
      </c>
      <c r="P80" s="16">
        <v>1.7081200000000001</v>
      </c>
      <c r="Q80" s="16">
        <v>1.699926</v>
      </c>
      <c r="R80" s="16">
        <v>1.7263109999999999</v>
      </c>
      <c r="S80" s="16">
        <v>1.71974</v>
      </c>
      <c r="T80" s="16">
        <v>1.7215210000000001</v>
      </c>
      <c r="U80" s="16">
        <v>1.7293350000000001</v>
      </c>
      <c r="V80" s="16">
        <v>1.746637</v>
      </c>
      <c r="W80" s="16">
        <v>1.7418480000000001</v>
      </c>
      <c r="X80" s="16">
        <v>1.743414</v>
      </c>
      <c r="Y80" s="16">
        <v>1.7447319999999999</v>
      </c>
      <c r="Z80" s="16">
        <v>1.748389</v>
      </c>
      <c r="AA80" s="16">
        <v>1.755471</v>
      </c>
      <c r="AB80" s="16">
        <v>1.7487079999999999</v>
      </c>
      <c r="AC80" s="16">
        <v>1.7426710000000001</v>
      </c>
      <c r="AD80" s="16">
        <v>1.7421260000000001</v>
      </c>
      <c r="AE80" s="16">
        <v>1.7281169999999999</v>
      </c>
      <c r="AF80" s="16">
        <v>1.7238990000000001</v>
      </c>
      <c r="AG80" s="16">
        <v>1.7193510000000001</v>
      </c>
      <c r="AH80" s="16">
        <v>1.7222630000000001</v>
      </c>
      <c r="AI80" s="16">
        <v>1.7262690000000001</v>
      </c>
      <c r="AJ80" s="16">
        <v>1.7184140000000001</v>
      </c>
      <c r="AK80" s="16">
        <v>1.7178580000000001</v>
      </c>
      <c r="AL80" s="13">
        <v>2.9689999999999999E-3</v>
      </c>
    </row>
    <row r="81" spans="1:38" ht="15" customHeight="1" x14ac:dyDescent="0.25">
      <c r="A81" s="7" t="s">
        <v>106</v>
      </c>
      <c r="B81" s="11" t="s">
        <v>74</v>
      </c>
      <c r="C81" s="16">
        <v>5.8180000000000003E-3</v>
      </c>
      <c r="D81" s="16">
        <v>5.8180000000000003E-3</v>
      </c>
      <c r="E81" s="16">
        <v>5.8180000000000003E-3</v>
      </c>
      <c r="F81" s="16">
        <v>2.3000000000000001E-4</v>
      </c>
      <c r="G81" s="16">
        <v>3.738E-3</v>
      </c>
      <c r="H81" s="16">
        <v>5.8979999999999996E-3</v>
      </c>
      <c r="I81" s="16">
        <v>0</v>
      </c>
      <c r="J81" s="16">
        <v>7.9999999999999996E-6</v>
      </c>
      <c r="K81" s="16">
        <v>0</v>
      </c>
      <c r="L81" s="16">
        <v>0</v>
      </c>
      <c r="M81" s="16">
        <v>0</v>
      </c>
      <c r="N81" s="16">
        <v>0</v>
      </c>
      <c r="O81" s="16">
        <v>0</v>
      </c>
      <c r="P81" s="16">
        <v>3.1999999999999999E-5</v>
      </c>
      <c r="Q81" s="16">
        <v>1.7E-5</v>
      </c>
      <c r="R81" s="16">
        <v>5.0000000000000004E-6</v>
      </c>
      <c r="S81" s="16">
        <v>0</v>
      </c>
      <c r="T81" s="16">
        <v>5.1E-5</v>
      </c>
      <c r="U81" s="16">
        <v>3.8999999999999999E-5</v>
      </c>
      <c r="V81" s="16">
        <v>9.0000000000000002E-6</v>
      </c>
      <c r="W81" s="16">
        <v>2.3E-5</v>
      </c>
      <c r="X81" s="16">
        <v>7.2999999999999999E-5</v>
      </c>
      <c r="Y81" s="16">
        <v>0</v>
      </c>
      <c r="Z81" s="16">
        <v>0</v>
      </c>
      <c r="AA81" s="16">
        <v>0</v>
      </c>
      <c r="AB81" s="16">
        <v>0</v>
      </c>
      <c r="AC81" s="16">
        <v>0</v>
      </c>
      <c r="AD81" s="16">
        <v>0</v>
      </c>
      <c r="AE81" s="16">
        <v>0</v>
      </c>
      <c r="AF81" s="16">
        <v>0</v>
      </c>
      <c r="AG81" s="16">
        <v>0</v>
      </c>
      <c r="AH81" s="16">
        <v>0</v>
      </c>
      <c r="AI81" s="16">
        <v>0</v>
      </c>
      <c r="AJ81" s="16">
        <v>0</v>
      </c>
      <c r="AK81" s="16">
        <v>0</v>
      </c>
      <c r="AL81" s="13" t="s">
        <v>9</v>
      </c>
    </row>
    <row r="82" spans="1:38" ht="15" customHeight="1" x14ac:dyDescent="0.25">
      <c r="A82" s="7" t="s">
        <v>107</v>
      </c>
      <c r="B82" s="11" t="s">
        <v>76</v>
      </c>
      <c r="C82" s="16">
        <v>2.0503369999999999</v>
      </c>
      <c r="D82" s="16">
        <v>2.0045579999999998</v>
      </c>
      <c r="E82" s="16">
        <v>2.0883530000000001</v>
      </c>
      <c r="F82" s="16">
        <v>2.1509529999999999</v>
      </c>
      <c r="G82" s="16">
        <v>2.1588970000000001</v>
      </c>
      <c r="H82" s="16">
        <v>2.129038</v>
      </c>
      <c r="I82" s="16">
        <v>2.1308720000000001</v>
      </c>
      <c r="J82" s="16">
        <v>2.1187689999999999</v>
      </c>
      <c r="K82" s="16">
        <v>2.1031870000000001</v>
      </c>
      <c r="L82" s="16">
        <v>2.0918160000000001</v>
      </c>
      <c r="M82" s="16">
        <v>2.060365</v>
      </c>
      <c r="N82" s="16">
        <v>2.0709740000000001</v>
      </c>
      <c r="O82" s="16">
        <v>2.0700889999999998</v>
      </c>
      <c r="P82" s="16">
        <v>2.0644710000000002</v>
      </c>
      <c r="Q82" s="16">
        <v>2.0524399999999998</v>
      </c>
      <c r="R82" s="16">
        <v>2.0862989999999999</v>
      </c>
      <c r="S82" s="16">
        <v>2.0761539999999998</v>
      </c>
      <c r="T82" s="16">
        <v>2.0768589999999998</v>
      </c>
      <c r="U82" s="16">
        <v>2.0834090000000001</v>
      </c>
      <c r="V82" s="16">
        <v>2.1015250000000001</v>
      </c>
      <c r="W82" s="16">
        <v>2.0951590000000002</v>
      </c>
      <c r="X82" s="16">
        <v>2.09484</v>
      </c>
      <c r="Y82" s="16">
        <v>2.0959810000000001</v>
      </c>
      <c r="Z82" s="16">
        <v>2.095977</v>
      </c>
      <c r="AA82" s="16">
        <v>2.1026069999999999</v>
      </c>
      <c r="AB82" s="16">
        <v>2.0912320000000002</v>
      </c>
      <c r="AC82" s="16">
        <v>2.0800260000000002</v>
      </c>
      <c r="AD82" s="16">
        <v>2.074325</v>
      </c>
      <c r="AE82" s="16">
        <v>2.0551550000000001</v>
      </c>
      <c r="AF82" s="16">
        <v>2.0474649999999999</v>
      </c>
      <c r="AG82" s="16">
        <v>2.0407820000000001</v>
      </c>
      <c r="AH82" s="16">
        <v>2.0441340000000001</v>
      </c>
      <c r="AI82" s="16">
        <v>2.0487869999999999</v>
      </c>
      <c r="AJ82" s="16">
        <v>2.0431840000000001</v>
      </c>
      <c r="AK82" s="16">
        <v>2.0432239999999999</v>
      </c>
      <c r="AL82" s="13">
        <v>5.7899999999999998E-4</v>
      </c>
    </row>
    <row r="83" spans="1:38" ht="15" customHeight="1" x14ac:dyDescent="0.25">
      <c r="A83" s="7" t="s">
        <v>108</v>
      </c>
      <c r="B83" s="11" t="s">
        <v>36</v>
      </c>
      <c r="C83" s="16">
        <v>1.2787200000000001</v>
      </c>
      <c r="D83" s="16">
        <v>1.2181869999999999</v>
      </c>
      <c r="E83" s="16">
        <v>1.078551</v>
      </c>
      <c r="F83" s="16">
        <v>1.081188</v>
      </c>
      <c r="G83" s="16">
        <v>1.132029</v>
      </c>
      <c r="H83" s="16">
        <v>1.131745</v>
      </c>
      <c r="I83" s="16">
        <v>1.1325510000000001</v>
      </c>
      <c r="J83" s="16">
        <v>1.127648</v>
      </c>
      <c r="K83" s="16">
        <v>1.065952</v>
      </c>
      <c r="L83" s="16">
        <v>1.0410999999999999</v>
      </c>
      <c r="M83" s="16">
        <v>1.0156529999999999</v>
      </c>
      <c r="N83" s="16">
        <v>1.003093</v>
      </c>
      <c r="O83" s="16">
        <v>0.99936899999999995</v>
      </c>
      <c r="P83" s="16">
        <v>0.99376299999999995</v>
      </c>
      <c r="Q83" s="16">
        <v>0.99740600000000001</v>
      </c>
      <c r="R83" s="16">
        <v>0.98799800000000004</v>
      </c>
      <c r="S83" s="16">
        <v>1.0124420000000001</v>
      </c>
      <c r="T83" s="16">
        <v>1.014521</v>
      </c>
      <c r="U83" s="16">
        <v>1.0275270000000001</v>
      </c>
      <c r="V83" s="16">
        <v>1.0383180000000001</v>
      </c>
      <c r="W83" s="16">
        <v>1.0462739999999999</v>
      </c>
      <c r="X83" s="16">
        <v>1.058427</v>
      </c>
      <c r="Y83" s="16">
        <v>1.0773919999999999</v>
      </c>
      <c r="Z83" s="16">
        <v>1.0943590000000001</v>
      </c>
      <c r="AA83" s="16">
        <v>1.1080319999999999</v>
      </c>
      <c r="AB83" s="16">
        <v>1.117445</v>
      </c>
      <c r="AC83" s="16">
        <v>1.1284050000000001</v>
      </c>
      <c r="AD83" s="16">
        <v>1.145975</v>
      </c>
      <c r="AE83" s="16">
        <v>1.155915</v>
      </c>
      <c r="AF83" s="16">
        <v>1.172423</v>
      </c>
      <c r="AG83" s="16">
        <v>1.1782779999999999</v>
      </c>
      <c r="AH83" s="16">
        <v>1.1782570000000001</v>
      </c>
      <c r="AI83" s="16">
        <v>1.1870210000000001</v>
      </c>
      <c r="AJ83" s="16">
        <v>1.1902079999999999</v>
      </c>
      <c r="AK83" s="16">
        <v>1.186974</v>
      </c>
      <c r="AL83" s="13">
        <v>-7.8600000000000002E-4</v>
      </c>
    </row>
    <row r="84" spans="1:38" ht="15" customHeight="1" x14ac:dyDescent="0.25">
      <c r="A84" s="7" t="s">
        <v>109</v>
      </c>
      <c r="B84" s="11" t="s">
        <v>38</v>
      </c>
      <c r="C84" s="16">
        <v>0.180953</v>
      </c>
      <c r="D84" s="16">
        <v>0.223133</v>
      </c>
      <c r="E84" s="16">
        <v>0.30829099999999998</v>
      </c>
      <c r="F84" s="16">
        <v>0.29362700000000003</v>
      </c>
      <c r="G84" s="16">
        <v>0.28794700000000001</v>
      </c>
      <c r="H84" s="16">
        <v>0.27934999999999999</v>
      </c>
      <c r="I84" s="16">
        <v>0.28383700000000001</v>
      </c>
      <c r="J84" s="16">
        <v>0.28321400000000002</v>
      </c>
      <c r="K84" s="16">
        <v>0.25864799999999999</v>
      </c>
      <c r="L84" s="16">
        <v>0.25230000000000002</v>
      </c>
      <c r="M84" s="16">
        <v>0.247395</v>
      </c>
      <c r="N84" s="16">
        <v>0.25430799999999998</v>
      </c>
      <c r="O84" s="16">
        <v>0.25383099999999997</v>
      </c>
      <c r="P84" s="16">
        <v>0.247364</v>
      </c>
      <c r="Q84" s="16">
        <v>0.24641399999999999</v>
      </c>
      <c r="R84" s="16">
        <v>0.25048199999999998</v>
      </c>
      <c r="S84" s="16">
        <v>0.256803</v>
      </c>
      <c r="T84" s="16">
        <v>0.26006499999999999</v>
      </c>
      <c r="U84" s="16">
        <v>0.269478</v>
      </c>
      <c r="V84" s="16">
        <v>0.28218700000000002</v>
      </c>
      <c r="W84" s="16">
        <v>0.279831</v>
      </c>
      <c r="X84" s="16">
        <v>0.28609200000000001</v>
      </c>
      <c r="Y84" s="16">
        <v>0.29542299999999999</v>
      </c>
      <c r="Z84" s="16">
        <v>0.30251600000000001</v>
      </c>
      <c r="AA84" s="16">
        <v>0.30732300000000001</v>
      </c>
      <c r="AB84" s="16">
        <v>0.30801200000000001</v>
      </c>
      <c r="AC84" s="16">
        <v>0.31249300000000002</v>
      </c>
      <c r="AD84" s="16">
        <v>0.32184099999999999</v>
      </c>
      <c r="AE84" s="16">
        <v>0.32939099999999999</v>
      </c>
      <c r="AF84" s="16">
        <v>0.34200199999999997</v>
      </c>
      <c r="AG84" s="16">
        <v>0.34970400000000001</v>
      </c>
      <c r="AH84" s="16">
        <v>0.34861300000000001</v>
      </c>
      <c r="AI84" s="16">
        <v>0.351408</v>
      </c>
      <c r="AJ84" s="16">
        <v>0.355489</v>
      </c>
      <c r="AK84" s="16">
        <v>0.35628199999999999</v>
      </c>
      <c r="AL84" s="13">
        <v>1.4281E-2</v>
      </c>
    </row>
    <row r="85" spans="1:38" ht="15" customHeight="1" x14ac:dyDescent="0.25">
      <c r="A85" s="7" t="s">
        <v>110</v>
      </c>
      <c r="B85" s="11" t="s">
        <v>111</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6">
        <v>0</v>
      </c>
      <c r="AL85" s="13" t="s">
        <v>9</v>
      </c>
    </row>
    <row r="86" spans="1:38" ht="15" customHeight="1" x14ac:dyDescent="0.25">
      <c r="A86" s="7" t="s">
        <v>112</v>
      </c>
      <c r="B86" s="11" t="s">
        <v>83</v>
      </c>
      <c r="C86" s="16">
        <v>1.459673</v>
      </c>
      <c r="D86" s="16">
        <v>1.4413199999999999</v>
      </c>
      <c r="E86" s="16">
        <v>1.3868419999999999</v>
      </c>
      <c r="F86" s="16">
        <v>1.374816</v>
      </c>
      <c r="G86" s="16">
        <v>1.4199759999999999</v>
      </c>
      <c r="H86" s="16">
        <v>1.4110940000000001</v>
      </c>
      <c r="I86" s="16">
        <v>1.416388</v>
      </c>
      <c r="J86" s="16">
        <v>1.4108609999999999</v>
      </c>
      <c r="K86" s="16">
        <v>1.3246009999999999</v>
      </c>
      <c r="L86" s="16">
        <v>1.2934000000000001</v>
      </c>
      <c r="M86" s="16">
        <v>1.2630479999999999</v>
      </c>
      <c r="N86" s="16">
        <v>1.2574000000000001</v>
      </c>
      <c r="O86" s="16">
        <v>1.2532000000000001</v>
      </c>
      <c r="P86" s="16">
        <v>1.2411270000000001</v>
      </c>
      <c r="Q86" s="16">
        <v>1.2438210000000001</v>
      </c>
      <c r="R86" s="16">
        <v>1.23848</v>
      </c>
      <c r="S86" s="16">
        <v>1.269245</v>
      </c>
      <c r="T86" s="16">
        <v>1.274586</v>
      </c>
      <c r="U86" s="16">
        <v>1.297005</v>
      </c>
      <c r="V86" s="16">
        <v>1.320505</v>
      </c>
      <c r="W86" s="16">
        <v>1.3261050000000001</v>
      </c>
      <c r="X86" s="16">
        <v>1.344519</v>
      </c>
      <c r="Y86" s="16">
        <v>1.3728149999999999</v>
      </c>
      <c r="Z86" s="16">
        <v>1.3968750000000001</v>
      </c>
      <c r="AA86" s="16">
        <v>1.4153549999999999</v>
      </c>
      <c r="AB86" s="16">
        <v>1.4254560000000001</v>
      </c>
      <c r="AC86" s="16">
        <v>1.440898</v>
      </c>
      <c r="AD86" s="16">
        <v>1.467816</v>
      </c>
      <c r="AE86" s="16">
        <v>1.485306</v>
      </c>
      <c r="AF86" s="16">
        <v>1.5144249999999999</v>
      </c>
      <c r="AG86" s="16">
        <v>1.527982</v>
      </c>
      <c r="AH86" s="16">
        <v>1.5268699999999999</v>
      </c>
      <c r="AI86" s="16">
        <v>1.538429</v>
      </c>
      <c r="AJ86" s="16">
        <v>1.545696</v>
      </c>
      <c r="AK86" s="16">
        <v>1.543256</v>
      </c>
      <c r="AL86" s="13">
        <v>2.0730000000000002E-3</v>
      </c>
    </row>
    <row r="87" spans="1:38" ht="15" customHeight="1" x14ac:dyDescent="0.25">
      <c r="A87" s="7" t="s">
        <v>113</v>
      </c>
      <c r="B87" s="11" t="s">
        <v>42</v>
      </c>
      <c r="C87" s="16">
        <v>2.4E-2</v>
      </c>
      <c r="D87" s="16">
        <v>2.4E-2</v>
      </c>
      <c r="E87" s="16">
        <v>2.4E-2</v>
      </c>
      <c r="F87" s="16">
        <v>3.0970999999999999E-2</v>
      </c>
      <c r="G87" s="16">
        <v>3.0970999999999999E-2</v>
      </c>
      <c r="H87" s="16">
        <v>3.0970999999999999E-2</v>
      </c>
      <c r="I87" s="16">
        <v>3.0970999999999999E-2</v>
      </c>
      <c r="J87" s="16">
        <v>3.0970999999999999E-2</v>
      </c>
      <c r="K87" s="16">
        <v>3.0970999999999999E-2</v>
      </c>
      <c r="L87" s="16">
        <v>3.0970999999999999E-2</v>
      </c>
      <c r="M87" s="16">
        <v>3.0970999999999999E-2</v>
      </c>
      <c r="N87" s="16">
        <v>3.0970999999999999E-2</v>
      </c>
      <c r="O87" s="16">
        <v>3.0970999999999999E-2</v>
      </c>
      <c r="P87" s="16">
        <v>3.0970999999999999E-2</v>
      </c>
      <c r="Q87" s="16">
        <v>3.0970999999999999E-2</v>
      </c>
      <c r="R87" s="16">
        <v>3.0970999999999999E-2</v>
      </c>
      <c r="S87" s="16">
        <v>3.0970999999999999E-2</v>
      </c>
      <c r="T87" s="16">
        <v>3.0970999999999999E-2</v>
      </c>
      <c r="U87" s="16">
        <v>3.0970999999999999E-2</v>
      </c>
      <c r="V87" s="16">
        <v>3.0970999999999999E-2</v>
      </c>
      <c r="W87" s="16">
        <v>3.0970999999999999E-2</v>
      </c>
      <c r="X87" s="16">
        <v>3.0970999999999999E-2</v>
      </c>
      <c r="Y87" s="16">
        <v>3.0970999999999999E-2</v>
      </c>
      <c r="Z87" s="16">
        <v>3.0970999999999999E-2</v>
      </c>
      <c r="AA87" s="16">
        <v>3.0970999999999999E-2</v>
      </c>
      <c r="AB87" s="16">
        <v>3.0970999999999999E-2</v>
      </c>
      <c r="AC87" s="16">
        <v>3.0970999999999999E-2</v>
      </c>
      <c r="AD87" s="16">
        <v>3.0970999999999999E-2</v>
      </c>
      <c r="AE87" s="16">
        <v>3.0970999999999999E-2</v>
      </c>
      <c r="AF87" s="16">
        <v>3.0970999999999999E-2</v>
      </c>
      <c r="AG87" s="16">
        <v>3.0970999999999999E-2</v>
      </c>
      <c r="AH87" s="16">
        <v>3.0970999999999999E-2</v>
      </c>
      <c r="AI87" s="16">
        <v>3.0970999999999999E-2</v>
      </c>
      <c r="AJ87" s="16">
        <v>3.0970999999999999E-2</v>
      </c>
      <c r="AK87" s="16">
        <v>3.0970999999999999E-2</v>
      </c>
      <c r="AL87" s="13">
        <v>7.757E-3</v>
      </c>
    </row>
    <row r="88" spans="1:38" ht="15" customHeight="1" x14ac:dyDescent="0.25">
      <c r="A88" s="7" t="s">
        <v>114</v>
      </c>
      <c r="B88" s="11" t="s">
        <v>115</v>
      </c>
      <c r="C88" s="16">
        <v>0</v>
      </c>
      <c r="D88" s="16">
        <v>0</v>
      </c>
      <c r="E88" s="16">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6">
        <v>0</v>
      </c>
      <c r="AE88" s="16">
        <v>0</v>
      </c>
      <c r="AF88" s="16">
        <v>0</v>
      </c>
      <c r="AG88" s="16">
        <v>0</v>
      </c>
      <c r="AH88" s="16">
        <v>0</v>
      </c>
      <c r="AI88" s="16">
        <v>0</v>
      </c>
      <c r="AJ88" s="16">
        <v>0</v>
      </c>
      <c r="AK88" s="16">
        <v>0</v>
      </c>
      <c r="AL88" s="13" t="s">
        <v>9</v>
      </c>
    </row>
    <row r="89" spans="1:38" ht="15" customHeight="1" x14ac:dyDescent="0.25">
      <c r="A89" s="7" t="s">
        <v>116</v>
      </c>
      <c r="B89" s="11" t="s">
        <v>88</v>
      </c>
      <c r="C89" s="16">
        <v>2.4E-2</v>
      </c>
      <c r="D89" s="16">
        <v>2.4E-2</v>
      </c>
      <c r="E89" s="16">
        <v>2.4E-2</v>
      </c>
      <c r="F89" s="16">
        <v>3.0970999999999999E-2</v>
      </c>
      <c r="G89" s="16">
        <v>3.0970999999999999E-2</v>
      </c>
      <c r="H89" s="16">
        <v>3.0970999999999999E-2</v>
      </c>
      <c r="I89" s="16">
        <v>3.0970999999999999E-2</v>
      </c>
      <c r="J89" s="16">
        <v>3.0970999999999999E-2</v>
      </c>
      <c r="K89" s="16">
        <v>3.0970999999999999E-2</v>
      </c>
      <c r="L89" s="16">
        <v>3.0970999999999999E-2</v>
      </c>
      <c r="M89" s="16">
        <v>3.0970999999999999E-2</v>
      </c>
      <c r="N89" s="16">
        <v>3.0970999999999999E-2</v>
      </c>
      <c r="O89" s="16">
        <v>3.0970999999999999E-2</v>
      </c>
      <c r="P89" s="16">
        <v>3.0970999999999999E-2</v>
      </c>
      <c r="Q89" s="16">
        <v>3.0970999999999999E-2</v>
      </c>
      <c r="R89" s="16">
        <v>3.0970999999999999E-2</v>
      </c>
      <c r="S89" s="16">
        <v>3.0970999999999999E-2</v>
      </c>
      <c r="T89" s="16">
        <v>3.0970999999999999E-2</v>
      </c>
      <c r="U89" s="16">
        <v>3.0970999999999999E-2</v>
      </c>
      <c r="V89" s="16">
        <v>3.0970999999999999E-2</v>
      </c>
      <c r="W89" s="16">
        <v>3.0970999999999999E-2</v>
      </c>
      <c r="X89" s="16">
        <v>3.0970999999999999E-2</v>
      </c>
      <c r="Y89" s="16">
        <v>3.0970999999999999E-2</v>
      </c>
      <c r="Z89" s="16">
        <v>3.0970999999999999E-2</v>
      </c>
      <c r="AA89" s="16">
        <v>3.0970999999999999E-2</v>
      </c>
      <c r="AB89" s="16">
        <v>3.0970999999999999E-2</v>
      </c>
      <c r="AC89" s="16">
        <v>3.0970999999999999E-2</v>
      </c>
      <c r="AD89" s="16">
        <v>3.0970999999999999E-2</v>
      </c>
      <c r="AE89" s="16">
        <v>3.0970999999999999E-2</v>
      </c>
      <c r="AF89" s="16">
        <v>3.0970999999999999E-2</v>
      </c>
      <c r="AG89" s="16">
        <v>3.0970999999999999E-2</v>
      </c>
      <c r="AH89" s="16">
        <v>3.0970999999999999E-2</v>
      </c>
      <c r="AI89" s="16">
        <v>3.0970999999999999E-2</v>
      </c>
      <c r="AJ89" s="16">
        <v>3.0970999999999999E-2</v>
      </c>
      <c r="AK89" s="16">
        <v>3.0970999999999999E-2</v>
      </c>
      <c r="AL89" s="13">
        <v>7.757E-3</v>
      </c>
    </row>
    <row r="90" spans="1:38" ht="15" customHeight="1" x14ac:dyDescent="0.25">
      <c r="A90" s="7" t="s">
        <v>117</v>
      </c>
      <c r="B90" s="11" t="s">
        <v>118</v>
      </c>
      <c r="C90" s="16">
        <v>0.82950999999999997</v>
      </c>
      <c r="D90" s="16">
        <v>0.81685200000000002</v>
      </c>
      <c r="E90" s="16">
        <v>0.81067199999999995</v>
      </c>
      <c r="F90" s="16">
        <v>0.84982599999999997</v>
      </c>
      <c r="G90" s="16">
        <v>0.85084300000000002</v>
      </c>
      <c r="H90" s="16">
        <v>0.85210699999999995</v>
      </c>
      <c r="I90" s="16">
        <v>0.85360999999999998</v>
      </c>
      <c r="J90" s="16">
        <v>0.85492999999999997</v>
      </c>
      <c r="K90" s="16">
        <v>0.84878699999999996</v>
      </c>
      <c r="L90" s="16">
        <v>0.85799099999999995</v>
      </c>
      <c r="M90" s="16">
        <v>0.85236299999999998</v>
      </c>
      <c r="N90" s="16">
        <v>0.853823</v>
      </c>
      <c r="O90" s="16">
        <v>0.86012299999999997</v>
      </c>
      <c r="P90" s="16">
        <v>0.86137300000000006</v>
      </c>
      <c r="Q90" s="16">
        <v>0.86322200000000004</v>
      </c>
      <c r="R90" s="16">
        <v>0.85932799999999998</v>
      </c>
      <c r="S90" s="16">
        <v>0.86175599999999997</v>
      </c>
      <c r="T90" s="16">
        <v>0.85922799999999999</v>
      </c>
      <c r="U90" s="16">
        <v>0.86110600000000004</v>
      </c>
      <c r="V90" s="16">
        <v>0.86265000000000003</v>
      </c>
      <c r="W90" s="16">
        <v>0.86264600000000002</v>
      </c>
      <c r="X90" s="16">
        <v>0.86263900000000004</v>
      </c>
      <c r="Y90" s="16">
        <v>0.86263900000000004</v>
      </c>
      <c r="Z90" s="16">
        <v>0.86262399999999995</v>
      </c>
      <c r="AA90" s="16">
        <v>0.85707999999999995</v>
      </c>
      <c r="AB90" s="16">
        <v>0.85840399999999994</v>
      </c>
      <c r="AC90" s="16">
        <v>0.85700100000000001</v>
      </c>
      <c r="AD90" s="16">
        <v>0.84587100000000004</v>
      </c>
      <c r="AE90" s="16">
        <v>0.84537200000000001</v>
      </c>
      <c r="AF90" s="16">
        <v>0.84265199999999996</v>
      </c>
      <c r="AG90" s="16">
        <v>0.83565999999999996</v>
      </c>
      <c r="AH90" s="16">
        <v>0.83198499999999997</v>
      </c>
      <c r="AI90" s="16">
        <v>0.83059499999999997</v>
      </c>
      <c r="AJ90" s="16">
        <v>0.82896599999999998</v>
      </c>
      <c r="AK90" s="16">
        <v>0.82509299999999997</v>
      </c>
      <c r="AL90" s="13">
        <v>3.0400000000000002E-4</v>
      </c>
    </row>
    <row r="91" spans="1:38" ht="15" customHeight="1" x14ac:dyDescent="0.25">
      <c r="A91" s="7" t="s">
        <v>119</v>
      </c>
      <c r="B91" s="11" t="s">
        <v>92</v>
      </c>
      <c r="C91" s="16">
        <v>0.19869200000000001</v>
      </c>
      <c r="D91" s="16">
        <v>0.19869200000000001</v>
      </c>
      <c r="E91" s="16">
        <v>0.19869200000000001</v>
      </c>
      <c r="F91" s="16">
        <v>0.20077100000000001</v>
      </c>
      <c r="G91" s="16">
        <v>0.20899300000000001</v>
      </c>
      <c r="H91" s="16">
        <v>0.20527599999999999</v>
      </c>
      <c r="I91" s="16">
        <v>0.20386099999999999</v>
      </c>
      <c r="J91" s="16">
        <v>0.20152700000000001</v>
      </c>
      <c r="K91" s="16">
        <v>0.19662499999999999</v>
      </c>
      <c r="L91" s="16">
        <v>0.19287599999999999</v>
      </c>
      <c r="M91" s="16">
        <v>0.188111</v>
      </c>
      <c r="N91" s="16">
        <v>0.184923</v>
      </c>
      <c r="O91" s="16">
        <v>0.18306700000000001</v>
      </c>
      <c r="P91" s="16">
        <v>0.182421</v>
      </c>
      <c r="Q91" s="16">
        <v>0.18071699999999999</v>
      </c>
      <c r="R91" s="16">
        <v>0.183645</v>
      </c>
      <c r="S91" s="16">
        <v>0.18385599999999999</v>
      </c>
      <c r="T91" s="16">
        <v>0.18421399999999999</v>
      </c>
      <c r="U91" s="16">
        <v>0.18587899999999999</v>
      </c>
      <c r="V91" s="16">
        <v>0.18864900000000001</v>
      </c>
      <c r="W91" s="16">
        <v>0.18807399999999999</v>
      </c>
      <c r="X91" s="16">
        <v>0.188586</v>
      </c>
      <c r="Y91" s="16">
        <v>0.190912</v>
      </c>
      <c r="Z91" s="16">
        <v>0.19348599999999999</v>
      </c>
      <c r="AA91" s="16">
        <v>0.193859</v>
      </c>
      <c r="AB91" s="16">
        <v>0.19325100000000001</v>
      </c>
      <c r="AC91" s="16">
        <v>0.194074</v>
      </c>
      <c r="AD91" s="16">
        <v>0.19489300000000001</v>
      </c>
      <c r="AE91" s="16">
        <v>0.194747</v>
      </c>
      <c r="AF91" s="16">
        <v>0.19640199999999999</v>
      </c>
      <c r="AG91" s="16">
        <v>0.196936</v>
      </c>
      <c r="AH91" s="16">
        <v>0.19741400000000001</v>
      </c>
      <c r="AI91" s="16">
        <v>0.198745</v>
      </c>
      <c r="AJ91" s="16">
        <v>0.19895099999999999</v>
      </c>
      <c r="AK91" s="16">
        <v>0.19914499999999999</v>
      </c>
      <c r="AL91" s="13">
        <v>6.8999999999999997E-5</v>
      </c>
    </row>
    <row r="92" spans="1:38" ht="15" customHeight="1" x14ac:dyDescent="0.25">
      <c r="A92" s="7" t="s">
        <v>120</v>
      </c>
      <c r="B92" s="10" t="s">
        <v>94</v>
      </c>
      <c r="C92" s="17">
        <v>4.5622119999999997</v>
      </c>
      <c r="D92" s="17">
        <v>4.4854229999999999</v>
      </c>
      <c r="E92" s="17">
        <v>4.5085579999999998</v>
      </c>
      <c r="F92" s="17">
        <v>4.6073370000000002</v>
      </c>
      <c r="G92" s="17">
        <v>4.6696799999999996</v>
      </c>
      <c r="H92" s="17">
        <v>4.6284859999999997</v>
      </c>
      <c r="I92" s="17">
        <v>4.6357020000000002</v>
      </c>
      <c r="J92" s="17">
        <v>4.6170590000000002</v>
      </c>
      <c r="K92" s="17">
        <v>4.5041710000000004</v>
      </c>
      <c r="L92" s="17">
        <v>4.4670540000000001</v>
      </c>
      <c r="M92" s="17">
        <v>4.3948590000000003</v>
      </c>
      <c r="N92" s="17">
        <v>4.398091</v>
      </c>
      <c r="O92" s="17">
        <v>4.3974500000000001</v>
      </c>
      <c r="P92" s="17">
        <v>4.380363</v>
      </c>
      <c r="Q92" s="17">
        <v>4.3711710000000004</v>
      </c>
      <c r="R92" s="17">
        <v>4.3987230000000004</v>
      </c>
      <c r="S92" s="17">
        <v>4.421983</v>
      </c>
      <c r="T92" s="17">
        <v>4.4258579999999998</v>
      </c>
      <c r="U92" s="17">
        <v>4.4583700000000004</v>
      </c>
      <c r="V92" s="17">
        <v>4.5042999999999997</v>
      </c>
      <c r="W92" s="17">
        <v>4.5029539999999999</v>
      </c>
      <c r="X92" s="17">
        <v>4.5215550000000002</v>
      </c>
      <c r="Y92" s="17">
        <v>4.553318</v>
      </c>
      <c r="Z92" s="17">
        <v>4.5799320000000003</v>
      </c>
      <c r="AA92" s="17">
        <v>4.5998720000000004</v>
      </c>
      <c r="AB92" s="17">
        <v>4.5993149999999998</v>
      </c>
      <c r="AC92" s="17">
        <v>4.6029710000000001</v>
      </c>
      <c r="AD92" s="17">
        <v>4.6138750000000002</v>
      </c>
      <c r="AE92" s="17">
        <v>4.6115500000000003</v>
      </c>
      <c r="AF92" s="17">
        <v>4.6319150000000002</v>
      </c>
      <c r="AG92" s="17">
        <v>4.6323309999999998</v>
      </c>
      <c r="AH92" s="17">
        <v>4.631373</v>
      </c>
      <c r="AI92" s="17">
        <v>4.647526</v>
      </c>
      <c r="AJ92" s="17">
        <v>4.6477680000000001</v>
      </c>
      <c r="AK92" s="17">
        <v>4.6416880000000003</v>
      </c>
      <c r="AL92" s="15">
        <v>1.0380000000000001E-3</v>
      </c>
    </row>
    <row r="93" spans="1:38" ht="15" customHeight="1" x14ac:dyDescent="0.25">
      <c r="A93" s="7" t="s">
        <v>121</v>
      </c>
      <c r="B93" s="11" t="s">
        <v>96</v>
      </c>
      <c r="C93" s="16">
        <v>0.39646300000000001</v>
      </c>
      <c r="D93" s="16">
        <v>0.39072200000000001</v>
      </c>
      <c r="E93" s="16">
        <v>0.38832100000000003</v>
      </c>
      <c r="F93" s="16">
        <v>0.38928600000000002</v>
      </c>
      <c r="G93" s="16">
        <v>0.40393600000000002</v>
      </c>
      <c r="H93" s="16">
        <v>0.393486</v>
      </c>
      <c r="I93" s="16">
        <v>0.38762600000000003</v>
      </c>
      <c r="J93" s="16">
        <v>0.37996600000000003</v>
      </c>
      <c r="K93" s="16">
        <v>0.370535</v>
      </c>
      <c r="L93" s="16">
        <v>0.36258699999999999</v>
      </c>
      <c r="M93" s="16">
        <v>0.35294199999999998</v>
      </c>
      <c r="N93" s="16">
        <v>0.34593000000000002</v>
      </c>
      <c r="O93" s="16">
        <v>0.34127800000000003</v>
      </c>
      <c r="P93" s="16">
        <v>0.33937800000000001</v>
      </c>
      <c r="Q93" s="16">
        <v>0.33516299999999999</v>
      </c>
      <c r="R93" s="16">
        <v>0.33899099999999999</v>
      </c>
      <c r="S93" s="16">
        <v>0.33843699999999999</v>
      </c>
      <c r="T93" s="16">
        <v>0.33851599999999998</v>
      </c>
      <c r="U93" s="16">
        <v>0.34060099999999999</v>
      </c>
      <c r="V93" s="16">
        <v>0.34523900000000002</v>
      </c>
      <c r="W93" s="16">
        <v>0.34325499999999998</v>
      </c>
      <c r="X93" s="16">
        <v>0.343358</v>
      </c>
      <c r="Y93" s="16">
        <v>0.34666200000000003</v>
      </c>
      <c r="Z93" s="16">
        <v>0.35058099999999998</v>
      </c>
      <c r="AA93" s="16">
        <v>0.35052899999999998</v>
      </c>
      <c r="AB93" s="16">
        <v>0.34819699999999998</v>
      </c>
      <c r="AC93" s="16">
        <v>0.34817999999999999</v>
      </c>
      <c r="AD93" s="16">
        <v>0.34842200000000001</v>
      </c>
      <c r="AE93" s="16">
        <v>0.34694599999999998</v>
      </c>
      <c r="AF93" s="16">
        <v>0.34828399999999998</v>
      </c>
      <c r="AG93" s="16">
        <v>0.34776699999999999</v>
      </c>
      <c r="AH93" s="16">
        <v>0.34732299999999999</v>
      </c>
      <c r="AI93" s="16">
        <v>0.34850399999999998</v>
      </c>
      <c r="AJ93" s="16">
        <v>0.34783599999999998</v>
      </c>
      <c r="AK93" s="16">
        <v>0.34601199999999999</v>
      </c>
      <c r="AL93" s="13">
        <v>-3.676E-3</v>
      </c>
    </row>
    <row r="94" spans="1:38" ht="15" customHeight="1" x14ac:dyDescent="0.25">
      <c r="A94" s="7" t="s">
        <v>122</v>
      </c>
      <c r="B94" s="10" t="s">
        <v>24</v>
      </c>
      <c r="C94" s="17">
        <v>4.9586740000000002</v>
      </c>
      <c r="D94" s="17">
        <v>4.876144</v>
      </c>
      <c r="E94" s="17">
        <v>4.8968790000000002</v>
      </c>
      <c r="F94" s="17">
        <v>4.9966229999999996</v>
      </c>
      <c r="G94" s="17">
        <v>5.0736160000000003</v>
      </c>
      <c r="H94" s="17">
        <v>5.021973</v>
      </c>
      <c r="I94" s="17">
        <v>5.0233280000000002</v>
      </c>
      <c r="J94" s="17">
        <v>4.9970249999999998</v>
      </c>
      <c r="K94" s="17">
        <v>4.8747059999999998</v>
      </c>
      <c r="L94" s="17">
        <v>4.8296409999999996</v>
      </c>
      <c r="M94" s="17">
        <v>4.7478009999999999</v>
      </c>
      <c r="N94" s="17">
        <v>4.744021</v>
      </c>
      <c r="O94" s="17">
        <v>4.7387290000000002</v>
      </c>
      <c r="P94" s="17">
        <v>4.719741</v>
      </c>
      <c r="Q94" s="17">
        <v>4.706334</v>
      </c>
      <c r="R94" s="17">
        <v>4.7377130000000003</v>
      </c>
      <c r="S94" s="17">
        <v>4.7604189999999997</v>
      </c>
      <c r="T94" s="17">
        <v>4.7643750000000002</v>
      </c>
      <c r="U94" s="17">
        <v>4.7989709999999999</v>
      </c>
      <c r="V94" s="17">
        <v>4.849539</v>
      </c>
      <c r="W94" s="17">
        <v>4.8462100000000001</v>
      </c>
      <c r="X94" s="17">
        <v>4.8649129999999996</v>
      </c>
      <c r="Y94" s="17">
        <v>4.8999800000000002</v>
      </c>
      <c r="Z94" s="17">
        <v>4.9305130000000004</v>
      </c>
      <c r="AA94" s="17">
        <v>4.9504000000000001</v>
      </c>
      <c r="AB94" s="17">
        <v>4.9475119999999997</v>
      </c>
      <c r="AC94" s="17">
        <v>4.9511510000000003</v>
      </c>
      <c r="AD94" s="17">
        <v>4.9622960000000003</v>
      </c>
      <c r="AE94" s="17">
        <v>4.9584960000000002</v>
      </c>
      <c r="AF94" s="17">
        <v>4.9801989999999998</v>
      </c>
      <c r="AG94" s="17">
        <v>4.9800979999999999</v>
      </c>
      <c r="AH94" s="17">
        <v>4.9786970000000004</v>
      </c>
      <c r="AI94" s="17">
        <v>4.9960300000000002</v>
      </c>
      <c r="AJ94" s="17">
        <v>4.9956040000000002</v>
      </c>
      <c r="AK94" s="17">
        <v>4.9877000000000002</v>
      </c>
      <c r="AL94" s="15">
        <v>6.8599999999999998E-4</v>
      </c>
    </row>
    <row r="96" spans="1:38" ht="15" customHeight="1" x14ac:dyDescent="0.25">
      <c r="B96" s="10" t="s">
        <v>123</v>
      </c>
    </row>
    <row r="97" spans="1:38" ht="15" customHeight="1" x14ac:dyDescent="0.25">
      <c r="A97" s="7" t="s">
        <v>124</v>
      </c>
      <c r="B97" s="11" t="s">
        <v>100</v>
      </c>
      <c r="C97" s="16">
        <v>0.4143</v>
      </c>
      <c r="D97" s="16">
        <v>0.39260099999999998</v>
      </c>
      <c r="E97" s="16">
        <v>0.44919999999999999</v>
      </c>
      <c r="F97" s="16">
        <v>0.204789</v>
      </c>
      <c r="G97" s="16">
        <v>0.20383699999999999</v>
      </c>
      <c r="H97" s="16">
        <v>0.20491500000000001</v>
      </c>
      <c r="I97" s="16">
        <v>0.20626</v>
      </c>
      <c r="J97" s="16">
        <v>0.207566</v>
      </c>
      <c r="K97" s="16">
        <v>0.20934700000000001</v>
      </c>
      <c r="L97" s="16">
        <v>0.210817</v>
      </c>
      <c r="M97" s="16">
        <v>0.212225</v>
      </c>
      <c r="N97" s="16">
        <v>0.21366399999999999</v>
      </c>
      <c r="O97" s="16">
        <v>0.21487999999999999</v>
      </c>
      <c r="P97" s="16">
        <v>0.21571899999999999</v>
      </c>
      <c r="Q97" s="16">
        <v>0.21668799999999999</v>
      </c>
      <c r="R97" s="16">
        <v>0.217805</v>
      </c>
      <c r="S97" s="16">
        <v>0.219003</v>
      </c>
      <c r="T97" s="16">
        <v>0.21926899999999999</v>
      </c>
      <c r="U97" s="16">
        <v>0.220246</v>
      </c>
      <c r="V97" s="16">
        <v>0.22128100000000001</v>
      </c>
      <c r="W97" s="16">
        <v>0.222465</v>
      </c>
      <c r="X97" s="16">
        <v>0.22369800000000001</v>
      </c>
      <c r="Y97" s="16">
        <v>0.22506699999999999</v>
      </c>
      <c r="Z97" s="16">
        <v>0.226356</v>
      </c>
      <c r="AA97" s="16">
        <v>0.22783100000000001</v>
      </c>
      <c r="AB97" s="16">
        <v>0.22931799999999999</v>
      </c>
      <c r="AC97" s="16">
        <v>0.23061799999999999</v>
      </c>
      <c r="AD97" s="16">
        <v>0.23200100000000001</v>
      </c>
      <c r="AE97" s="16">
        <v>0.233574</v>
      </c>
      <c r="AF97" s="16">
        <v>0.23494000000000001</v>
      </c>
      <c r="AG97" s="16">
        <v>0.23647399999999999</v>
      </c>
      <c r="AH97" s="16">
        <v>0.23794299999999999</v>
      </c>
      <c r="AI97" s="16">
        <v>0.23919199999999999</v>
      </c>
      <c r="AJ97" s="16">
        <v>0.24027299999999999</v>
      </c>
      <c r="AK97" s="16">
        <v>0.24162800000000001</v>
      </c>
      <c r="AL97" s="13">
        <v>-1.4600999999999999E-2</v>
      </c>
    </row>
    <row r="98" spans="1:38" ht="15" customHeight="1" x14ac:dyDescent="0.25">
      <c r="A98" s="7" t="s">
        <v>125</v>
      </c>
      <c r="B98" s="11" t="s">
        <v>64</v>
      </c>
      <c r="C98" s="16">
        <v>2.2709000000000001</v>
      </c>
      <c r="D98" s="16">
        <v>2.3506</v>
      </c>
      <c r="E98" s="16">
        <v>2.5752999999999999</v>
      </c>
      <c r="F98" s="16">
        <v>2.7801999999999998</v>
      </c>
      <c r="G98" s="16">
        <v>2.9331</v>
      </c>
      <c r="H98" s="16">
        <v>3.026233</v>
      </c>
      <c r="I98" s="16">
        <v>3.1117620000000001</v>
      </c>
      <c r="J98" s="16">
        <v>3.212777</v>
      </c>
      <c r="K98" s="16">
        <v>3.3247399999999998</v>
      </c>
      <c r="L98" s="16">
        <v>3.3734639999999998</v>
      </c>
      <c r="M98" s="16">
        <v>3.4078849999999998</v>
      </c>
      <c r="N98" s="16">
        <v>3.460474</v>
      </c>
      <c r="O98" s="16">
        <v>3.5305689999999998</v>
      </c>
      <c r="P98" s="16">
        <v>3.588851</v>
      </c>
      <c r="Q98" s="16">
        <v>3.639386</v>
      </c>
      <c r="R98" s="16">
        <v>3.6833019999999999</v>
      </c>
      <c r="S98" s="16">
        <v>3.7071000000000001</v>
      </c>
      <c r="T98" s="16">
        <v>3.7485080000000002</v>
      </c>
      <c r="U98" s="16">
        <v>3.7598829999999999</v>
      </c>
      <c r="V98" s="16">
        <v>3.7684380000000002</v>
      </c>
      <c r="W98" s="16">
        <v>3.7846220000000002</v>
      </c>
      <c r="X98" s="16">
        <v>3.8188300000000002</v>
      </c>
      <c r="Y98" s="16">
        <v>3.874546</v>
      </c>
      <c r="Z98" s="16">
        <v>3.8877229999999998</v>
      </c>
      <c r="AA98" s="16">
        <v>3.8912209999999998</v>
      </c>
      <c r="AB98" s="16">
        <v>3.90334</v>
      </c>
      <c r="AC98" s="16">
        <v>3.8959130000000002</v>
      </c>
      <c r="AD98" s="16">
        <v>3.8962430000000001</v>
      </c>
      <c r="AE98" s="16">
        <v>3.8979970000000002</v>
      </c>
      <c r="AF98" s="16">
        <v>3.9023050000000001</v>
      </c>
      <c r="AG98" s="16">
        <v>3.8991380000000002</v>
      </c>
      <c r="AH98" s="16">
        <v>3.9040650000000001</v>
      </c>
      <c r="AI98" s="16">
        <v>3.906911</v>
      </c>
      <c r="AJ98" s="16">
        <v>3.907238</v>
      </c>
      <c r="AK98" s="16">
        <v>3.9134180000000001</v>
      </c>
      <c r="AL98" s="13">
        <v>1.5566999999999999E-2</v>
      </c>
    </row>
    <row r="99" spans="1:38" ht="15" customHeight="1" x14ac:dyDescent="0.25">
      <c r="A99" s="7" t="s">
        <v>126</v>
      </c>
      <c r="B99" s="11" t="s">
        <v>28</v>
      </c>
      <c r="C99" s="16">
        <v>0.26290000000000002</v>
      </c>
      <c r="D99" s="16">
        <v>0.2621</v>
      </c>
      <c r="E99" s="16">
        <v>0.26340000000000002</v>
      </c>
      <c r="F99" s="16">
        <v>0.26779799999999998</v>
      </c>
      <c r="G99" s="16">
        <v>0.27004600000000001</v>
      </c>
      <c r="H99" s="16">
        <v>0.27185900000000002</v>
      </c>
      <c r="I99" s="16">
        <v>0.27365499999999998</v>
      </c>
      <c r="J99" s="16">
        <v>0.27491100000000002</v>
      </c>
      <c r="K99" s="16">
        <v>0.27620099999999997</v>
      </c>
      <c r="L99" s="16">
        <v>0.27696799999999999</v>
      </c>
      <c r="M99" s="16">
        <v>0.27828700000000001</v>
      </c>
      <c r="N99" s="16">
        <v>0.280003</v>
      </c>
      <c r="O99" s="16">
        <v>0.280337</v>
      </c>
      <c r="P99" s="16">
        <v>0.281227</v>
      </c>
      <c r="Q99" s="16">
        <v>0.28184900000000002</v>
      </c>
      <c r="R99" s="16">
        <v>0.283003</v>
      </c>
      <c r="S99" s="16">
        <v>0.28421600000000002</v>
      </c>
      <c r="T99" s="16">
        <v>0.28481299999999998</v>
      </c>
      <c r="U99" s="16">
        <v>0.28576299999999999</v>
      </c>
      <c r="V99" s="16">
        <v>0.28659899999999999</v>
      </c>
      <c r="W99" s="16">
        <v>0.28759299999999999</v>
      </c>
      <c r="X99" s="16">
        <v>0.28885899999999998</v>
      </c>
      <c r="Y99" s="16">
        <v>0.28994799999999998</v>
      </c>
      <c r="Z99" s="16">
        <v>0.29144199999999998</v>
      </c>
      <c r="AA99" s="16">
        <v>0.293068</v>
      </c>
      <c r="AB99" s="16">
        <v>0.29454000000000002</v>
      </c>
      <c r="AC99" s="16">
        <v>0.29616399999999998</v>
      </c>
      <c r="AD99" s="16">
        <v>0.297649</v>
      </c>
      <c r="AE99" s="16">
        <v>0.29895300000000002</v>
      </c>
      <c r="AF99" s="16">
        <v>0.29982199999999998</v>
      </c>
      <c r="AG99" s="16">
        <v>0.30083700000000002</v>
      </c>
      <c r="AH99" s="16">
        <v>0.30225400000000002</v>
      </c>
      <c r="AI99" s="16">
        <v>0.30349199999999998</v>
      </c>
      <c r="AJ99" s="16">
        <v>0.30477900000000002</v>
      </c>
      <c r="AK99" s="16">
        <v>0.30627900000000002</v>
      </c>
      <c r="AL99" s="13">
        <v>4.731E-3</v>
      </c>
    </row>
    <row r="100" spans="1:38" ht="15" customHeight="1" x14ac:dyDescent="0.25">
      <c r="A100" s="7" t="s">
        <v>127</v>
      </c>
      <c r="B100" s="11" t="s">
        <v>30</v>
      </c>
      <c r="C100" s="16">
        <v>1.1414709999999999</v>
      </c>
      <c r="D100" s="16">
        <v>1.1597710000000001</v>
      </c>
      <c r="E100" s="16">
        <v>1.1860710000000001</v>
      </c>
      <c r="F100" s="16">
        <v>1.2166790000000001</v>
      </c>
      <c r="G100" s="16">
        <v>1.2319560000000001</v>
      </c>
      <c r="H100" s="16">
        <v>1.2459560000000001</v>
      </c>
      <c r="I100" s="16">
        <v>1.259668</v>
      </c>
      <c r="J100" s="16">
        <v>1.27223</v>
      </c>
      <c r="K100" s="16">
        <v>1.2886869999999999</v>
      </c>
      <c r="L100" s="16">
        <v>1.298942</v>
      </c>
      <c r="M100" s="16">
        <v>1.309115</v>
      </c>
      <c r="N100" s="16">
        <v>1.318492</v>
      </c>
      <c r="O100" s="16">
        <v>1.3297319999999999</v>
      </c>
      <c r="P100" s="16">
        <v>1.33718</v>
      </c>
      <c r="Q100" s="16">
        <v>1.345424</v>
      </c>
      <c r="R100" s="16">
        <v>1.354465</v>
      </c>
      <c r="S100" s="16">
        <v>1.3606720000000001</v>
      </c>
      <c r="T100" s="16">
        <v>1.3658459999999999</v>
      </c>
      <c r="U100" s="16">
        <v>1.3750359999999999</v>
      </c>
      <c r="V100" s="16">
        <v>1.3849819999999999</v>
      </c>
      <c r="W100" s="16">
        <v>1.3954219999999999</v>
      </c>
      <c r="X100" s="16">
        <v>1.4057379999999999</v>
      </c>
      <c r="Y100" s="16">
        <v>1.4185300000000001</v>
      </c>
      <c r="Z100" s="16">
        <v>1.4292039999999999</v>
      </c>
      <c r="AA100" s="16">
        <v>1.4418789999999999</v>
      </c>
      <c r="AB100" s="16">
        <v>1.456143</v>
      </c>
      <c r="AC100" s="16">
        <v>1.467535</v>
      </c>
      <c r="AD100" s="16">
        <v>1.4804010000000001</v>
      </c>
      <c r="AE100" s="16">
        <v>1.494041</v>
      </c>
      <c r="AF100" s="16">
        <v>1.5063439999999999</v>
      </c>
      <c r="AG100" s="16">
        <v>1.520216</v>
      </c>
      <c r="AH100" s="16">
        <v>1.5343720000000001</v>
      </c>
      <c r="AI100" s="16">
        <v>1.546889</v>
      </c>
      <c r="AJ100" s="16">
        <v>1.5583579999999999</v>
      </c>
      <c r="AK100" s="16">
        <v>1.5715520000000001</v>
      </c>
      <c r="AL100" s="13">
        <v>9.2499999999999995E-3</v>
      </c>
    </row>
    <row r="101" spans="1:38" ht="15" customHeight="1" x14ac:dyDescent="0.25">
      <c r="A101" s="7" t="s">
        <v>128</v>
      </c>
      <c r="B101" s="11" t="s">
        <v>32</v>
      </c>
      <c r="C101" s="16">
        <v>4.6399999999999997E-2</v>
      </c>
      <c r="D101" s="16">
        <v>4.6600000000000003E-2</v>
      </c>
      <c r="E101" s="16">
        <v>4.6100000000000002E-2</v>
      </c>
      <c r="F101" s="16">
        <v>4.2909000000000003E-2</v>
      </c>
      <c r="G101" s="16">
        <v>3.9368E-2</v>
      </c>
      <c r="H101" s="16">
        <v>3.7721999999999999E-2</v>
      </c>
      <c r="I101" s="16">
        <v>3.653E-2</v>
      </c>
      <c r="J101" s="16">
        <v>3.5504000000000001E-2</v>
      </c>
      <c r="K101" s="16">
        <v>3.4647999999999998E-2</v>
      </c>
      <c r="L101" s="16">
        <v>3.4250000000000003E-2</v>
      </c>
      <c r="M101" s="16">
        <v>3.3756000000000001E-2</v>
      </c>
      <c r="N101" s="16">
        <v>3.3369000000000003E-2</v>
      </c>
      <c r="O101" s="16">
        <v>3.2920999999999999E-2</v>
      </c>
      <c r="P101" s="16">
        <v>3.3186E-2</v>
      </c>
      <c r="Q101" s="16">
        <v>3.3422E-2</v>
      </c>
      <c r="R101" s="16">
        <v>3.3665E-2</v>
      </c>
      <c r="S101" s="16">
        <v>3.3831E-2</v>
      </c>
      <c r="T101" s="16">
        <v>3.3980999999999997E-2</v>
      </c>
      <c r="U101" s="16">
        <v>3.4202000000000003E-2</v>
      </c>
      <c r="V101" s="16">
        <v>3.4404999999999998E-2</v>
      </c>
      <c r="W101" s="16">
        <v>3.4708999999999997E-2</v>
      </c>
      <c r="X101" s="16">
        <v>3.4942000000000001E-2</v>
      </c>
      <c r="Y101" s="16">
        <v>3.5136000000000001E-2</v>
      </c>
      <c r="Z101" s="16">
        <v>3.5395000000000003E-2</v>
      </c>
      <c r="AA101" s="16">
        <v>3.5718E-2</v>
      </c>
      <c r="AB101" s="16">
        <v>3.6034999999999998E-2</v>
      </c>
      <c r="AC101" s="16">
        <v>3.6337000000000001E-2</v>
      </c>
      <c r="AD101" s="16">
        <v>3.6606E-2</v>
      </c>
      <c r="AE101" s="16">
        <v>3.6888999999999998E-2</v>
      </c>
      <c r="AF101" s="16">
        <v>3.7067999999999997E-2</v>
      </c>
      <c r="AG101" s="16">
        <v>3.7344000000000002E-2</v>
      </c>
      <c r="AH101" s="16">
        <v>3.7670000000000002E-2</v>
      </c>
      <c r="AI101" s="16">
        <v>3.7929999999999998E-2</v>
      </c>
      <c r="AJ101" s="16">
        <v>3.8206999999999998E-2</v>
      </c>
      <c r="AK101" s="16">
        <v>3.8505999999999999E-2</v>
      </c>
      <c r="AL101" s="13">
        <v>-5.7650000000000002E-3</v>
      </c>
    </row>
    <row r="102" spans="1:38" ht="15" customHeight="1" x14ac:dyDescent="0.25">
      <c r="A102" s="7" t="s">
        <v>129</v>
      </c>
      <c r="B102" s="11" t="s">
        <v>69</v>
      </c>
      <c r="C102" s="16">
        <v>0.64249999999999996</v>
      </c>
      <c r="D102" s="16">
        <v>0.71120000000000005</v>
      </c>
      <c r="E102" s="16">
        <v>0.73360000000000003</v>
      </c>
      <c r="F102" s="16">
        <v>0.80151899999999998</v>
      </c>
      <c r="G102" s="16">
        <v>0.85491399999999995</v>
      </c>
      <c r="H102" s="16">
        <v>0.89084300000000005</v>
      </c>
      <c r="I102" s="16">
        <v>0.92745699999999998</v>
      </c>
      <c r="J102" s="16">
        <v>0.97170900000000004</v>
      </c>
      <c r="K102" s="16">
        <v>1.0215860000000001</v>
      </c>
      <c r="L102" s="16">
        <v>1.0466139999999999</v>
      </c>
      <c r="M102" s="16">
        <v>1.0646679999999999</v>
      </c>
      <c r="N102" s="16">
        <v>1.089299</v>
      </c>
      <c r="O102" s="16">
        <v>1.1212409999999999</v>
      </c>
      <c r="P102" s="16">
        <v>1.1494359999999999</v>
      </c>
      <c r="Q102" s="16">
        <v>1.1741250000000001</v>
      </c>
      <c r="R102" s="16">
        <v>1.1956830000000001</v>
      </c>
      <c r="S102" s="16">
        <v>1.208448</v>
      </c>
      <c r="T102" s="16">
        <v>1.228037</v>
      </c>
      <c r="U102" s="16">
        <v>1.2347790000000001</v>
      </c>
      <c r="V102" s="16">
        <v>1.239385</v>
      </c>
      <c r="W102" s="16">
        <v>1.2473240000000001</v>
      </c>
      <c r="X102" s="16">
        <v>1.2636810000000001</v>
      </c>
      <c r="Y102" s="16">
        <v>1.291112</v>
      </c>
      <c r="Z102" s="16">
        <v>1.29959</v>
      </c>
      <c r="AA102" s="16">
        <v>1.3005850000000001</v>
      </c>
      <c r="AB102" s="16">
        <v>1.3077369999999999</v>
      </c>
      <c r="AC102" s="16">
        <v>1.305369</v>
      </c>
      <c r="AD102" s="16">
        <v>1.305688</v>
      </c>
      <c r="AE102" s="16">
        <v>1.3065599999999999</v>
      </c>
      <c r="AF102" s="16">
        <v>1.308335</v>
      </c>
      <c r="AG102" s="16">
        <v>1.307523</v>
      </c>
      <c r="AH102" s="16">
        <v>1.3095950000000001</v>
      </c>
      <c r="AI102" s="16">
        <v>1.31202</v>
      </c>
      <c r="AJ102" s="16">
        <v>1.3125739999999999</v>
      </c>
      <c r="AK102" s="16">
        <v>1.31636</v>
      </c>
      <c r="AL102" s="13">
        <v>1.8832000000000002E-2</v>
      </c>
    </row>
    <row r="103" spans="1:38" ht="15" customHeight="1" x14ac:dyDescent="0.25">
      <c r="A103" s="7" t="s">
        <v>130</v>
      </c>
      <c r="B103" s="11" t="s">
        <v>71</v>
      </c>
      <c r="C103" s="16">
        <v>0.65290000000000004</v>
      </c>
      <c r="D103" s="16">
        <v>0.61539999999999995</v>
      </c>
      <c r="E103" s="16">
        <v>0.6109</v>
      </c>
      <c r="F103" s="16">
        <v>0.61563199999999996</v>
      </c>
      <c r="G103" s="16">
        <v>0.56466899999999998</v>
      </c>
      <c r="H103" s="16">
        <v>0.53553499999999998</v>
      </c>
      <c r="I103" s="16">
        <v>0.52689799999999998</v>
      </c>
      <c r="J103" s="16">
        <v>0.51772499999999999</v>
      </c>
      <c r="K103" s="16">
        <v>0.52109099999999997</v>
      </c>
      <c r="L103" s="16">
        <v>0.523671</v>
      </c>
      <c r="M103" s="16">
        <v>0.51507899999999995</v>
      </c>
      <c r="N103" s="16">
        <v>0.51141199999999998</v>
      </c>
      <c r="O103" s="16">
        <v>0.505131</v>
      </c>
      <c r="P103" s="16">
        <v>0.501525</v>
      </c>
      <c r="Q103" s="16">
        <v>0.49645499999999998</v>
      </c>
      <c r="R103" s="16">
        <v>0.50218600000000002</v>
      </c>
      <c r="S103" s="16">
        <v>0.497361</v>
      </c>
      <c r="T103" s="16">
        <v>0.49447200000000002</v>
      </c>
      <c r="U103" s="16">
        <v>0.49146800000000002</v>
      </c>
      <c r="V103" s="16">
        <v>0.48883399999999999</v>
      </c>
      <c r="W103" s="16">
        <v>0.48889100000000002</v>
      </c>
      <c r="X103" s="16">
        <v>0.48613600000000001</v>
      </c>
      <c r="Y103" s="16">
        <v>0.48720599999999997</v>
      </c>
      <c r="Z103" s="16">
        <v>0.48378500000000002</v>
      </c>
      <c r="AA103" s="16">
        <v>0.48353400000000002</v>
      </c>
      <c r="AB103" s="16">
        <v>0.47939500000000002</v>
      </c>
      <c r="AC103" s="16">
        <v>0.47458499999999998</v>
      </c>
      <c r="AD103" s="16">
        <v>0.469775</v>
      </c>
      <c r="AE103" s="16">
        <v>0.464945</v>
      </c>
      <c r="AF103" s="16">
        <v>0.461615</v>
      </c>
      <c r="AG103" s="16">
        <v>0.45981499999999997</v>
      </c>
      <c r="AH103" s="16">
        <v>0.46023199999999997</v>
      </c>
      <c r="AI103" s="16">
        <v>0.46070499999999998</v>
      </c>
      <c r="AJ103" s="16">
        <v>0.46318599999999999</v>
      </c>
      <c r="AK103" s="16">
        <v>0.46382099999999998</v>
      </c>
      <c r="AL103" s="13">
        <v>-8.5319999999999997E-3</v>
      </c>
    </row>
    <row r="104" spans="1:38" ht="15" customHeight="1" x14ac:dyDescent="0.25">
      <c r="A104" s="7" t="s">
        <v>131</v>
      </c>
      <c r="B104" s="11" t="s">
        <v>34</v>
      </c>
      <c r="C104" s="16">
        <v>0.85340000000000005</v>
      </c>
      <c r="D104" s="16">
        <v>0.86119999999999997</v>
      </c>
      <c r="E104" s="16">
        <v>0.89629999999999999</v>
      </c>
      <c r="F104" s="16">
        <v>0.90278400000000003</v>
      </c>
      <c r="G104" s="16">
        <v>0.88510500000000003</v>
      </c>
      <c r="H104" s="16">
        <v>0.89126000000000005</v>
      </c>
      <c r="I104" s="16">
        <v>0.90472600000000003</v>
      </c>
      <c r="J104" s="16">
        <v>0.92659599999999998</v>
      </c>
      <c r="K104" s="16">
        <v>0.94505600000000001</v>
      </c>
      <c r="L104" s="16">
        <v>0.95850000000000002</v>
      </c>
      <c r="M104" s="16">
        <v>0.97343299999999999</v>
      </c>
      <c r="N104" s="16">
        <v>0.98915699999999995</v>
      </c>
      <c r="O104" s="16">
        <v>1.0075989999999999</v>
      </c>
      <c r="P104" s="16">
        <v>1.030616</v>
      </c>
      <c r="Q104" s="16">
        <v>1.058378</v>
      </c>
      <c r="R104" s="16">
        <v>1.0878300000000001</v>
      </c>
      <c r="S104" s="16">
        <v>1.1113310000000001</v>
      </c>
      <c r="T104" s="16">
        <v>1.136539</v>
      </c>
      <c r="U104" s="16">
        <v>1.1632690000000001</v>
      </c>
      <c r="V104" s="16">
        <v>1.189006</v>
      </c>
      <c r="W104" s="16">
        <v>1.21397</v>
      </c>
      <c r="X104" s="16">
        <v>1.2401009999999999</v>
      </c>
      <c r="Y104" s="16">
        <v>1.266904</v>
      </c>
      <c r="Z104" s="16">
        <v>1.2940860000000001</v>
      </c>
      <c r="AA104" s="16">
        <v>1.3224480000000001</v>
      </c>
      <c r="AB104" s="16">
        <v>1.3513839999999999</v>
      </c>
      <c r="AC104" s="16">
        <v>1.3810260000000001</v>
      </c>
      <c r="AD104" s="16">
        <v>1.4116340000000001</v>
      </c>
      <c r="AE104" s="16">
        <v>1.4431130000000001</v>
      </c>
      <c r="AF104" s="16">
        <v>1.475392</v>
      </c>
      <c r="AG104" s="16">
        <v>1.508229</v>
      </c>
      <c r="AH104" s="16">
        <v>1.5418970000000001</v>
      </c>
      <c r="AI104" s="16">
        <v>1.5768660000000001</v>
      </c>
      <c r="AJ104" s="16">
        <v>1.6124579999999999</v>
      </c>
      <c r="AK104" s="16">
        <v>1.648828</v>
      </c>
      <c r="AL104" s="13">
        <v>1.9876999999999999E-2</v>
      </c>
    </row>
    <row r="105" spans="1:38" ht="15" customHeight="1" x14ac:dyDescent="0.25">
      <c r="A105" s="7" t="s">
        <v>132</v>
      </c>
      <c r="B105" s="11" t="s">
        <v>105</v>
      </c>
      <c r="C105" s="16">
        <v>1.493309</v>
      </c>
      <c r="D105" s="16">
        <v>1.5577719999999999</v>
      </c>
      <c r="E105" s="16">
        <v>1.702812</v>
      </c>
      <c r="F105" s="16">
        <v>1.763134</v>
      </c>
      <c r="G105" s="16">
        <v>1.7792669999999999</v>
      </c>
      <c r="H105" s="16">
        <v>1.7594540000000001</v>
      </c>
      <c r="I105" s="16">
        <v>1.7666949999999999</v>
      </c>
      <c r="J105" s="16">
        <v>1.758087</v>
      </c>
      <c r="K105" s="16">
        <v>1.736497</v>
      </c>
      <c r="L105" s="16">
        <v>1.721689</v>
      </c>
      <c r="M105" s="16">
        <v>1.69567</v>
      </c>
      <c r="N105" s="16">
        <v>1.707911</v>
      </c>
      <c r="O105" s="16">
        <v>1.7104839999999999</v>
      </c>
      <c r="P105" s="16">
        <v>1.7081200000000001</v>
      </c>
      <c r="Q105" s="16">
        <v>1.699926</v>
      </c>
      <c r="R105" s="16">
        <v>1.7263109999999999</v>
      </c>
      <c r="S105" s="16">
        <v>1.71974</v>
      </c>
      <c r="T105" s="16">
        <v>1.7215210000000001</v>
      </c>
      <c r="U105" s="16">
        <v>1.7293350000000001</v>
      </c>
      <c r="V105" s="16">
        <v>1.746637</v>
      </c>
      <c r="W105" s="16">
        <v>1.7418480000000001</v>
      </c>
      <c r="X105" s="16">
        <v>1.743414</v>
      </c>
      <c r="Y105" s="16">
        <v>1.7447319999999999</v>
      </c>
      <c r="Z105" s="16">
        <v>1.748389</v>
      </c>
      <c r="AA105" s="16">
        <v>1.755471</v>
      </c>
      <c r="AB105" s="16">
        <v>1.7487079999999999</v>
      </c>
      <c r="AC105" s="16">
        <v>1.7426710000000001</v>
      </c>
      <c r="AD105" s="16">
        <v>1.7421260000000001</v>
      </c>
      <c r="AE105" s="16">
        <v>1.7281169999999999</v>
      </c>
      <c r="AF105" s="16">
        <v>1.7238990000000001</v>
      </c>
      <c r="AG105" s="16">
        <v>1.7193510000000001</v>
      </c>
      <c r="AH105" s="16">
        <v>1.7222630000000001</v>
      </c>
      <c r="AI105" s="16">
        <v>1.7262690000000001</v>
      </c>
      <c r="AJ105" s="16">
        <v>1.7184140000000001</v>
      </c>
      <c r="AK105" s="16">
        <v>1.7178580000000001</v>
      </c>
      <c r="AL105" s="13">
        <v>2.9689999999999999E-3</v>
      </c>
    </row>
    <row r="106" spans="1:38" ht="15" customHeight="1" x14ac:dyDescent="0.25">
      <c r="A106" s="7" t="s">
        <v>133</v>
      </c>
      <c r="B106" s="11" t="s">
        <v>74</v>
      </c>
      <c r="C106" s="16">
        <v>0.37251800000000002</v>
      </c>
      <c r="D106" s="16">
        <v>0.37491799999999997</v>
      </c>
      <c r="E106" s="16">
        <v>0.38001800000000002</v>
      </c>
      <c r="F106" s="16">
        <v>0.38930199999999998</v>
      </c>
      <c r="G106" s="16">
        <v>0.35907800000000001</v>
      </c>
      <c r="H106" s="16">
        <v>0.34427600000000003</v>
      </c>
      <c r="I106" s="16">
        <v>0.33751100000000001</v>
      </c>
      <c r="J106" s="16">
        <v>0.34456700000000001</v>
      </c>
      <c r="K106" s="16">
        <v>0.35926000000000002</v>
      </c>
      <c r="L106" s="16">
        <v>0.36894199999999999</v>
      </c>
      <c r="M106" s="16">
        <v>0.37099700000000002</v>
      </c>
      <c r="N106" s="16">
        <v>0.37576100000000001</v>
      </c>
      <c r="O106" s="16">
        <v>0.37885600000000003</v>
      </c>
      <c r="P106" s="16">
        <v>0.37882100000000002</v>
      </c>
      <c r="Q106" s="16">
        <v>0.377272</v>
      </c>
      <c r="R106" s="16">
        <v>0.37465199999999999</v>
      </c>
      <c r="S106" s="16">
        <v>0.37334000000000001</v>
      </c>
      <c r="T106" s="16">
        <v>0.37074800000000002</v>
      </c>
      <c r="U106" s="16">
        <v>0.368174</v>
      </c>
      <c r="V106" s="16">
        <v>0.3654</v>
      </c>
      <c r="W106" s="16">
        <v>0.36881900000000001</v>
      </c>
      <c r="X106" s="16">
        <v>0.36534899999999998</v>
      </c>
      <c r="Y106" s="16">
        <v>0.36751600000000001</v>
      </c>
      <c r="Z106" s="16">
        <v>0.36663099999999998</v>
      </c>
      <c r="AA106" s="16">
        <v>0.36554199999999998</v>
      </c>
      <c r="AB106" s="16">
        <v>0.36541400000000002</v>
      </c>
      <c r="AC106" s="16">
        <v>0.36606899999999998</v>
      </c>
      <c r="AD106" s="16">
        <v>0.36617899999999998</v>
      </c>
      <c r="AE106" s="16">
        <v>0.36724299999999999</v>
      </c>
      <c r="AF106" s="16">
        <v>0.36797400000000002</v>
      </c>
      <c r="AG106" s="16">
        <v>0.36984</v>
      </c>
      <c r="AH106" s="16">
        <v>0.37094199999999999</v>
      </c>
      <c r="AI106" s="16">
        <v>0.37179099999999998</v>
      </c>
      <c r="AJ106" s="16">
        <v>0.37315100000000001</v>
      </c>
      <c r="AK106" s="16">
        <v>0.374141</v>
      </c>
      <c r="AL106" s="13">
        <v>-6.3E-5</v>
      </c>
    </row>
    <row r="107" spans="1:38" ht="15" customHeight="1" x14ac:dyDescent="0.25">
      <c r="A107" s="7" t="s">
        <v>134</v>
      </c>
      <c r="B107" s="11" t="s">
        <v>76</v>
      </c>
      <c r="C107" s="16">
        <v>8.1505989999999997</v>
      </c>
      <c r="D107" s="16">
        <v>8.3321620000000003</v>
      </c>
      <c r="E107" s="16">
        <v>8.8437009999999994</v>
      </c>
      <c r="F107" s="16">
        <v>8.9847450000000002</v>
      </c>
      <c r="G107" s="16">
        <v>9.1213379999999997</v>
      </c>
      <c r="H107" s="16">
        <v>9.2080529999999996</v>
      </c>
      <c r="I107" s="16">
        <v>9.3511620000000004</v>
      </c>
      <c r="J107" s="16">
        <v>9.5216709999999996</v>
      </c>
      <c r="K107" s="16">
        <v>9.7171129999999994</v>
      </c>
      <c r="L107" s="16">
        <v>9.8138550000000002</v>
      </c>
      <c r="M107" s="16">
        <v>9.8611140000000006</v>
      </c>
      <c r="N107" s="16">
        <v>9.9795420000000004</v>
      </c>
      <c r="O107" s="16">
        <v>10.111750000000001</v>
      </c>
      <c r="P107" s="16">
        <v>10.224681</v>
      </c>
      <c r="Q107" s="16">
        <v>10.322925</v>
      </c>
      <c r="R107" s="16">
        <v>10.458900999999999</v>
      </c>
      <c r="S107" s="16">
        <v>10.515040000000001</v>
      </c>
      <c r="T107" s="16">
        <v>10.603733999999999</v>
      </c>
      <c r="U107" s="16">
        <v>10.662153</v>
      </c>
      <c r="V107" s="16">
        <v>10.724966999999999</v>
      </c>
      <c r="W107" s="16">
        <v>10.785664000000001</v>
      </c>
      <c r="X107" s="16">
        <v>10.870749</v>
      </c>
      <c r="Y107" s="16">
        <v>11.000698</v>
      </c>
      <c r="Z107" s="16">
        <v>11.0626</v>
      </c>
      <c r="AA107" s="16">
        <v>11.117297000000001</v>
      </c>
      <c r="AB107" s="16">
        <v>11.172013</v>
      </c>
      <c r="AC107" s="16">
        <v>11.196287</v>
      </c>
      <c r="AD107" s="16">
        <v>11.238301999999999</v>
      </c>
      <c r="AE107" s="16">
        <v>11.271432000000001</v>
      </c>
      <c r="AF107" s="16">
        <v>11.317691999999999</v>
      </c>
      <c r="AG107" s="16">
        <v>11.358767</v>
      </c>
      <c r="AH107" s="16">
        <v>11.421234</v>
      </c>
      <c r="AI107" s="16">
        <v>11.482065</v>
      </c>
      <c r="AJ107" s="16">
        <v>11.528638000000001</v>
      </c>
      <c r="AK107" s="16">
        <v>11.592389000000001</v>
      </c>
      <c r="AL107" s="13">
        <v>1.0057E-2</v>
      </c>
    </row>
    <row r="108" spans="1:38" ht="15" customHeight="1" x14ac:dyDescent="0.25">
      <c r="A108" s="7" t="s">
        <v>135</v>
      </c>
      <c r="B108" s="11" t="s">
        <v>36</v>
      </c>
      <c r="C108" s="16">
        <v>7.1270480000000003</v>
      </c>
      <c r="D108" s="16">
        <v>7.0062680000000004</v>
      </c>
      <c r="E108" s="16">
        <v>7.0715170000000001</v>
      </c>
      <c r="F108" s="16">
        <v>7.247789</v>
      </c>
      <c r="G108" s="16">
        <v>7.5518359999999998</v>
      </c>
      <c r="H108" s="16">
        <v>7.7047119999999998</v>
      </c>
      <c r="I108" s="16">
        <v>7.808103</v>
      </c>
      <c r="J108" s="16">
        <v>7.8849900000000002</v>
      </c>
      <c r="K108" s="16">
        <v>7.8705509999999999</v>
      </c>
      <c r="L108" s="16">
        <v>7.8673669999999998</v>
      </c>
      <c r="M108" s="16">
        <v>7.8870480000000001</v>
      </c>
      <c r="N108" s="16">
        <v>7.9300259999999998</v>
      </c>
      <c r="O108" s="16">
        <v>7.997471</v>
      </c>
      <c r="P108" s="16">
        <v>8.0583860000000005</v>
      </c>
      <c r="Q108" s="16">
        <v>8.1157310000000003</v>
      </c>
      <c r="R108" s="16">
        <v>8.1596279999999997</v>
      </c>
      <c r="S108" s="16">
        <v>8.2185889999999997</v>
      </c>
      <c r="T108" s="16">
        <v>8.2796400000000006</v>
      </c>
      <c r="U108" s="16">
        <v>8.3402689999999993</v>
      </c>
      <c r="V108" s="16">
        <v>8.4055420000000005</v>
      </c>
      <c r="W108" s="16">
        <v>8.4528750000000006</v>
      </c>
      <c r="X108" s="16">
        <v>8.5393709999999992</v>
      </c>
      <c r="Y108" s="16">
        <v>8.6252440000000004</v>
      </c>
      <c r="Z108" s="16">
        <v>8.6933199999999999</v>
      </c>
      <c r="AA108" s="16">
        <v>8.7629769999999994</v>
      </c>
      <c r="AB108" s="16">
        <v>8.8359140000000007</v>
      </c>
      <c r="AC108" s="16">
        <v>8.8886230000000008</v>
      </c>
      <c r="AD108" s="16">
        <v>8.9488819999999993</v>
      </c>
      <c r="AE108" s="16">
        <v>8.996791</v>
      </c>
      <c r="AF108" s="16">
        <v>9.0519610000000004</v>
      </c>
      <c r="AG108" s="16">
        <v>9.0868009999999995</v>
      </c>
      <c r="AH108" s="16">
        <v>9.1276499999999992</v>
      </c>
      <c r="AI108" s="16">
        <v>9.1784700000000008</v>
      </c>
      <c r="AJ108" s="16">
        <v>9.2250019999999999</v>
      </c>
      <c r="AK108" s="16">
        <v>9.2820839999999993</v>
      </c>
      <c r="AL108" s="13">
        <v>8.5599999999999999E-3</v>
      </c>
    </row>
    <row r="109" spans="1:38" ht="15" customHeight="1" x14ac:dyDescent="0.25">
      <c r="A109" s="7" t="s">
        <v>136</v>
      </c>
      <c r="B109" s="11" t="s">
        <v>38</v>
      </c>
      <c r="C109" s="16">
        <v>0.88095299999999999</v>
      </c>
      <c r="D109" s="16">
        <v>1.0491330000000001</v>
      </c>
      <c r="E109" s="16">
        <v>1.202291</v>
      </c>
      <c r="F109" s="16">
        <v>1.2406269999999999</v>
      </c>
      <c r="G109" s="16">
        <v>1.2459469999999999</v>
      </c>
      <c r="H109" s="16">
        <v>1.2563569999999999</v>
      </c>
      <c r="I109" s="16">
        <v>1.278351</v>
      </c>
      <c r="J109" s="16">
        <v>1.2992060000000001</v>
      </c>
      <c r="K109" s="16">
        <v>1.29749</v>
      </c>
      <c r="L109" s="16">
        <v>1.303215</v>
      </c>
      <c r="M109" s="16">
        <v>1.3079339999999999</v>
      </c>
      <c r="N109" s="16">
        <v>1.3265279999999999</v>
      </c>
      <c r="O109" s="16">
        <v>1.336719</v>
      </c>
      <c r="P109" s="16">
        <v>1.339332</v>
      </c>
      <c r="Q109" s="16">
        <v>1.3434900000000001</v>
      </c>
      <c r="R109" s="16">
        <v>1.3542510000000001</v>
      </c>
      <c r="S109" s="16">
        <v>1.3712629999999999</v>
      </c>
      <c r="T109" s="16">
        <v>1.3787959999999999</v>
      </c>
      <c r="U109" s="16">
        <v>1.390447</v>
      </c>
      <c r="V109" s="16">
        <v>1.404903</v>
      </c>
      <c r="W109" s="16">
        <v>1.4077470000000001</v>
      </c>
      <c r="X109" s="16">
        <v>1.421967</v>
      </c>
      <c r="Y109" s="16">
        <v>1.4435709999999999</v>
      </c>
      <c r="Z109" s="16">
        <v>1.4550449999999999</v>
      </c>
      <c r="AA109" s="16">
        <v>1.4613830000000001</v>
      </c>
      <c r="AB109" s="16">
        <v>1.4635609999999999</v>
      </c>
      <c r="AC109" s="16">
        <v>1.4666170000000001</v>
      </c>
      <c r="AD109" s="16">
        <v>1.4761709999999999</v>
      </c>
      <c r="AE109" s="16">
        <v>1.484531</v>
      </c>
      <c r="AF109" s="16">
        <v>1.498032</v>
      </c>
      <c r="AG109" s="16">
        <v>1.505153</v>
      </c>
      <c r="AH109" s="16">
        <v>1.505511</v>
      </c>
      <c r="AI109" s="16">
        <v>1.5098180000000001</v>
      </c>
      <c r="AJ109" s="16">
        <v>1.515315</v>
      </c>
      <c r="AK109" s="16">
        <v>1.5180610000000001</v>
      </c>
      <c r="AL109" s="13">
        <v>1.1259E-2</v>
      </c>
    </row>
    <row r="110" spans="1:38" ht="15" customHeight="1" x14ac:dyDescent="0.25">
      <c r="A110" s="7" t="s">
        <v>137</v>
      </c>
      <c r="B110" s="11" t="s">
        <v>111</v>
      </c>
      <c r="C110" s="16">
        <v>0</v>
      </c>
      <c r="D110" s="16">
        <v>0</v>
      </c>
      <c r="E110" s="16">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6">
        <v>0</v>
      </c>
      <c r="AE110" s="16">
        <v>0</v>
      </c>
      <c r="AF110" s="16">
        <v>0</v>
      </c>
      <c r="AG110" s="16">
        <v>0</v>
      </c>
      <c r="AH110" s="16">
        <v>0</v>
      </c>
      <c r="AI110" s="16">
        <v>0</v>
      </c>
      <c r="AJ110" s="16">
        <v>0</v>
      </c>
      <c r="AK110" s="16">
        <v>0</v>
      </c>
      <c r="AL110" s="13" t="s">
        <v>9</v>
      </c>
    </row>
    <row r="111" spans="1:38" ht="15" customHeight="1" x14ac:dyDescent="0.25">
      <c r="A111" s="7" t="s">
        <v>138</v>
      </c>
      <c r="B111" s="11" t="s">
        <v>80</v>
      </c>
      <c r="C111" s="16">
        <v>1.6486890000000001</v>
      </c>
      <c r="D111" s="16">
        <v>1.670296</v>
      </c>
      <c r="E111" s="16">
        <v>1.7867150000000001</v>
      </c>
      <c r="F111" s="16">
        <v>1.8824669999999999</v>
      </c>
      <c r="G111" s="16">
        <v>1.937797</v>
      </c>
      <c r="H111" s="16">
        <v>1.973096</v>
      </c>
      <c r="I111" s="16">
        <v>1.9984200000000001</v>
      </c>
      <c r="J111" s="16">
        <v>2.0188929999999998</v>
      </c>
      <c r="K111" s="16">
        <v>2.038713</v>
      </c>
      <c r="L111" s="16">
        <v>2.056597</v>
      </c>
      <c r="M111" s="16">
        <v>2.0847150000000001</v>
      </c>
      <c r="N111" s="16">
        <v>2.1002619999999999</v>
      </c>
      <c r="O111" s="16">
        <v>2.122325</v>
      </c>
      <c r="P111" s="16">
        <v>2.1302460000000001</v>
      </c>
      <c r="Q111" s="16">
        <v>2.138379</v>
      </c>
      <c r="R111" s="16">
        <v>2.1453929999999999</v>
      </c>
      <c r="S111" s="16">
        <v>2.1495709999999999</v>
      </c>
      <c r="T111" s="16">
        <v>2.1503800000000002</v>
      </c>
      <c r="U111" s="16">
        <v>2.1620949999999999</v>
      </c>
      <c r="V111" s="16">
        <v>2.1671429999999998</v>
      </c>
      <c r="W111" s="16">
        <v>2.1782180000000002</v>
      </c>
      <c r="X111" s="16">
        <v>2.1997369999999998</v>
      </c>
      <c r="Y111" s="16">
        <v>2.2033299999999998</v>
      </c>
      <c r="Z111" s="16">
        <v>2.2133259999999999</v>
      </c>
      <c r="AA111" s="16">
        <v>2.236494</v>
      </c>
      <c r="AB111" s="16">
        <v>2.2448830000000002</v>
      </c>
      <c r="AC111" s="16">
        <v>2.2535720000000001</v>
      </c>
      <c r="AD111" s="16">
        <v>2.262454</v>
      </c>
      <c r="AE111" s="16">
        <v>2.2677390000000002</v>
      </c>
      <c r="AF111" s="16">
        <v>2.2673410000000001</v>
      </c>
      <c r="AG111" s="16">
        <v>2.2740119999999999</v>
      </c>
      <c r="AH111" s="16">
        <v>2.286206</v>
      </c>
      <c r="AI111" s="16">
        <v>2.2967529999999998</v>
      </c>
      <c r="AJ111" s="16">
        <v>2.3024710000000002</v>
      </c>
      <c r="AK111" s="16">
        <v>2.3118460000000001</v>
      </c>
      <c r="AL111" s="13">
        <v>9.8989999999999998E-3</v>
      </c>
    </row>
    <row r="112" spans="1:38" ht="15" customHeight="1" x14ac:dyDescent="0.25">
      <c r="A112" s="7" t="s">
        <v>139</v>
      </c>
      <c r="B112" s="11" t="s">
        <v>1965</v>
      </c>
      <c r="C112" s="16">
        <v>1.9356999999999999E-2</v>
      </c>
      <c r="D112" s="16">
        <v>6.9542000000000007E-2</v>
      </c>
      <c r="E112" s="16">
        <v>0.11519500000000001</v>
      </c>
      <c r="F112" s="16">
        <v>0.20156399999999999</v>
      </c>
      <c r="G112" s="16">
        <v>0.31427100000000002</v>
      </c>
      <c r="H112" s="16">
        <v>0.327013</v>
      </c>
      <c r="I112" s="16">
        <v>0.34773300000000001</v>
      </c>
      <c r="J112" s="16">
        <v>0.38917299999999999</v>
      </c>
      <c r="K112" s="16">
        <v>0.43752000000000002</v>
      </c>
      <c r="L112" s="16">
        <v>0.47896</v>
      </c>
      <c r="M112" s="16">
        <v>0.50658700000000001</v>
      </c>
      <c r="N112" s="16">
        <v>0.53421300000000005</v>
      </c>
      <c r="O112" s="16">
        <v>0.54802700000000004</v>
      </c>
      <c r="P112" s="16">
        <v>0.55493300000000001</v>
      </c>
      <c r="Q112" s="16">
        <v>0.55493300000000001</v>
      </c>
      <c r="R112" s="16">
        <v>0.55493300000000001</v>
      </c>
      <c r="S112" s="16">
        <v>0.55493300000000001</v>
      </c>
      <c r="T112" s="16">
        <v>0.55493300000000001</v>
      </c>
      <c r="U112" s="16">
        <v>0.55493300000000001</v>
      </c>
      <c r="V112" s="16">
        <v>0.55493300000000001</v>
      </c>
      <c r="W112" s="16">
        <v>0.55493300000000001</v>
      </c>
      <c r="X112" s="16">
        <v>0.55493300000000001</v>
      </c>
      <c r="Y112" s="16">
        <v>0.55493300000000001</v>
      </c>
      <c r="Z112" s="16">
        <v>0.55493300000000001</v>
      </c>
      <c r="AA112" s="16">
        <v>0.55493300000000001</v>
      </c>
      <c r="AB112" s="16">
        <v>0.55493300000000001</v>
      </c>
      <c r="AC112" s="16">
        <v>0.55493300000000001</v>
      </c>
      <c r="AD112" s="16">
        <v>0.55493300000000001</v>
      </c>
      <c r="AE112" s="16">
        <v>0.55493300000000001</v>
      </c>
      <c r="AF112" s="16">
        <v>0.55493300000000001</v>
      </c>
      <c r="AG112" s="16">
        <v>0.55493300000000001</v>
      </c>
      <c r="AH112" s="16">
        <v>0.55493300000000001</v>
      </c>
      <c r="AI112" s="16">
        <v>0.55493300000000001</v>
      </c>
      <c r="AJ112" s="16">
        <v>0.55493300000000001</v>
      </c>
      <c r="AK112" s="16">
        <v>0.55493300000000001</v>
      </c>
      <c r="AL112" s="13">
        <v>6.4960000000000004E-2</v>
      </c>
    </row>
    <row r="113" spans="1:38" ht="15" customHeight="1" x14ac:dyDescent="0.25">
      <c r="A113" s="7" t="s">
        <v>140</v>
      </c>
      <c r="B113" s="11" t="s">
        <v>83</v>
      </c>
      <c r="C113" s="16">
        <v>9.6760459999999995</v>
      </c>
      <c r="D113" s="16">
        <v>9.7952379999999994</v>
      </c>
      <c r="E113" s="16">
        <v>10.175719000000001</v>
      </c>
      <c r="F113" s="16">
        <v>10.572448</v>
      </c>
      <c r="G113" s="16">
        <v>11.049851</v>
      </c>
      <c r="H113" s="16">
        <v>11.261177</v>
      </c>
      <c r="I113" s="16">
        <v>11.432607000000001</v>
      </c>
      <c r="J113" s="16">
        <v>11.592262</v>
      </c>
      <c r="K113" s="16">
        <v>11.644273999999999</v>
      </c>
      <c r="L113" s="16">
        <v>11.706139</v>
      </c>
      <c r="M113" s="16">
        <v>11.786282999999999</v>
      </c>
      <c r="N113" s="16">
        <v>11.891028</v>
      </c>
      <c r="O113" s="16">
        <v>12.004542000000001</v>
      </c>
      <c r="P113" s="16">
        <v>12.082897000000001</v>
      </c>
      <c r="Q113" s="16">
        <v>12.152533999999999</v>
      </c>
      <c r="R113" s="16">
        <v>12.214206000000001</v>
      </c>
      <c r="S113" s="16">
        <v>12.294356000000001</v>
      </c>
      <c r="T113" s="16">
        <v>12.36375</v>
      </c>
      <c r="U113" s="16">
        <v>12.447744</v>
      </c>
      <c r="V113" s="16">
        <v>12.532520999999999</v>
      </c>
      <c r="W113" s="16">
        <v>12.593774</v>
      </c>
      <c r="X113" s="16">
        <v>12.716008</v>
      </c>
      <c r="Y113" s="16">
        <v>12.827078</v>
      </c>
      <c r="Z113" s="16">
        <v>12.916625</v>
      </c>
      <c r="AA113" s="16">
        <v>13.015787</v>
      </c>
      <c r="AB113" s="16">
        <v>13.099290999999999</v>
      </c>
      <c r="AC113" s="16">
        <v>13.163745</v>
      </c>
      <c r="AD113" s="16">
        <v>13.24244</v>
      </c>
      <c r="AE113" s="16">
        <v>13.303995</v>
      </c>
      <c r="AF113" s="16">
        <v>13.372267000000001</v>
      </c>
      <c r="AG113" s="16">
        <v>13.420899</v>
      </c>
      <c r="AH113" s="16">
        <v>13.474299</v>
      </c>
      <c r="AI113" s="16">
        <v>13.539974000000001</v>
      </c>
      <c r="AJ113" s="16">
        <v>13.597721</v>
      </c>
      <c r="AK113" s="16">
        <v>13.666925000000001</v>
      </c>
      <c r="AL113" s="13">
        <v>1.0144E-2</v>
      </c>
    </row>
    <row r="114" spans="1:38" ht="15" customHeight="1" x14ac:dyDescent="0.25">
      <c r="A114" s="7" t="s">
        <v>141</v>
      </c>
      <c r="B114" s="11" t="s">
        <v>85</v>
      </c>
      <c r="C114" s="16">
        <v>0.4511</v>
      </c>
      <c r="D114" s="16">
        <v>0.50739999999999996</v>
      </c>
      <c r="E114" s="16">
        <v>0.42852400000000002</v>
      </c>
      <c r="F114" s="16">
        <v>0.42698999999999998</v>
      </c>
      <c r="G114" s="16">
        <v>0.46410499999999999</v>
      </c>
      <c r="H114" s="16">
        <v>0.44707999999999998</v>
      </c>
      <c r="I114" s="16">
        <v>0.40729599999999999</v>
      </c>
      <c r="J114" s="16">
        <v>0.40053</v>
      </c>
      <c r="K114" s="16">
        <v>0.41114299999999998</v>
      </c>
      <c r="L114" s="16">
        <v>0.418987</v>
      </c>
      <c r="M114" s="16">
        <v>0.42236299999999999</v>
      </c>
      <c r="N114" s="16">
        <v>0.429226</v>
      </c>
      <c r="O114" s="16">
        <v>0.435363</v>
      </c>
      <c r="P114" s="16">
        <v>0.43128499999999997</v>
      </c>
      <c r="Q114" s="16">
        <v>0.44652500000000001</v>
      </c>
      <c r="R114" s="16">
        <v>0.45771600000000001</v>
      </c>
      <c r="S114" s="16">
        <v>0.46304299999999998</v>
      </c>
      <c r="T114" s="16">
        <v>0.47432200000000002</v>
      </c>
      <c r="U114" s="16">
        <v>0.48215000000000002</v>
      </c>
      <c r="V114" s="16">
        <v>0.49151099999999998</v>
      </c>
      <c r="W114" s="16">
        <v>0.492896</v>
      </c>
      <c r="X114" s="16">
        <v>0.50299199999999999</v>
      </c>
      <c r="Y114" s="16">
        <v>0.50071600000000005</v>
      </c>
      <c r="Z114" s="16">
        <v>0.50109800000000004</v>
      </c>
      <c r="AA114" s="16">
        <v>0.50207299999999999</v>
      </c>
      <c r="AB114" s="16">
        <v>0.50522800000000001</v>
      </c>
      <c r="AC114" s="16">
        <v>0.50485000000000002</v>
      </c>
      <c r="AD114" s="16">
        <v>0.50678199999999995</v>
      </c>
      <c r="AE114" s="16">
        <v>0.50212800000000002</v>
      </c>
      <c r="AF114" s="16">
        <v>0.49911299999999997</v>
      </c>
      <c r="AG114" s="16">
        <v>0.49638700000000002</v>
      </c>
      <c r="AH114" s="16">
        <v>0.49812899999999999</v>
      </c>
      <c r="AI114" s="16">
        <v>0.50339900000000004</v>
      </c>
      <c r="AJ114" s="16">
        <v>0.50222199999999995</v>
      </c>
      <c r="AK114" s="16">
        <v>0.49612600000000001</v>
      </c>
      <c r="AL114" s="13">
        <v>-6.8099999999999996E-4</v>
      </c>
    </row>
    <row r="115" spans="1:38" ht="15" customHeight="1" x14ac:dyDescent="0.25">
      <c r="A115" s="7" t="s">
        <v>142</v>
      </c>
      <c r="B115" s="11" t="s">
        <v>42</v>
      </c>
      <c r="C115" s="16">
        <v>0.69131799999999999</v>
      </c>
      <c r="D115" s="16">
        <v>0.64764600000000005</v>
      </c>
      <c r="E115" s="16">
        <v>0.66678899999999997</v>
      </c>
      <c r="F115" s="16">
        <v>0.70019399999999998</v>
      </c>
      <c r="G115" s="16">
        <v>0.72556100000000001</v>
      </c>
      <c r="H115" s="16">
        <v>0.73407699999999998</v>
      </c>
      <c r="I115" s="16">
        <v>0.74183200000000005</v>
      </c>
      <c r="J115" s="16">
        <v>0.748359</v>
      </c>
      <c r="K115" s="16">
        <v>0.75666599999999995</v>
      </c>
      <c r="L115" s="16">
        <v>0.75539800000000001</v>
      </c>
      <c r="M115" s="16">
        <v>0.75332399999999999</v>
      </c>
      <c r="N115" s="16">
        <v>0.75022900000000003</v>
      </c>
      <c r="O115" s="16">
        <v>0.74613200000000002</v>
      </c>
      <c r="P115" s="16">
        <v>0.73607599999999995</v>
      </c>
      <c r="Q115" s="16">
        <v>0.73008300000000004</v>
      </c>
      <c r="R115" s="16">
        <v>0.72506999999999999</v>
      </c>
      <c r="S115" s="16">
        <v>0.71720099999999998</v>
      </c>
      <c r="T115" s="16">
        <v>0.71100300000000005</v>
      </c>
      <c r="U115" s="16">
        <v>0.70544300000000004</v>
      </c>
      <c r="V115" s="16">
        <v>0.69867299999999999</v>
      </c>
      <c r="W115" s="16">
        <v>0.69850299999999999</v>
      </c>
      <c r="X115" s="16">
        <v>0.69846600000000003</v>
      </c>
      <c r="Y115" s="16">
        <v>0.69763399999999998</v>
      </c>
      <c r="Z115" s="16">
        <v>0.69605700000000004</v>
      </c>
      <c r="AA115" s="16">
        <v>0.69584699999999999</v>
      </c>
      <c r="AB115" s="16">
        <v>0.696573</v>
      </c>
      <c r="AC115" s="16">
        <v>0.69593300000000002</v>
      </c>
      <c r="AD115" s="16">
        <v>0.69562000000000002</v>
      </c>
      <c r="AE115" s="16">
        <v>0.69534200000000002</v>
      </c>
      <c r="AF115" s="16">
        <v>0.69557000000000002</v>
      </c>
      <c r="AG115" s="16">
        <v>0.69604699999999997</v>
      </c>
      <c r="AH115" s="16">
        <v>0.69668799999999997</v>
      </c>
      <c r="AI115" s="16">
        <v>0.69744399999999995</v>
      </c>
      <c r="AJ115" s="16">
        <v>0.697052</v>
      </c>
      <c r="AK115" s="16">
        <v>0.69619799999999998</v>
      </c>
      <c r="AL115" s="13">
        <v>2.1930000000000001E-3</v>
      </c>
    </row>
    <row r="116" spans="1:38" ht="15" customHeight="1" x14ac:dyDescent="0.25">
      <c r="A116" s="7" t="s">
        <v>143</v>
      </c>
      <c r="B116" s="11" t="s">
        <v>115</v>
      </c>
      <c r="C116" s="16">
        <v>0</v>
      </c>
      <c r="D116" s="16">
        <v>0</v>
      </c>
      <c r="E116" s="16">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6">
        <v>0</v>
      </c>
      <c r="AE116" s="16">
        <v>0</v>
      </c>
      <c r="AF116" s="16">
        <v>0</v>
      </c>
      <c r="AG116" s="16">
        <v>0</v>
      </c>
      <c r="AH116" s="16">
        <v>0</v>
      </c>
      <c r="AI116" s="16">
        <v>0</v>
      </c>
      <c r="AJ116" s="16">
        <v>0</v>
      </c>
      <c r="AK116" s="16">
        <v>0</v>
      </c>
      <c r="AL116" s="13" t="s">
        <v>9</v>
      </c>
    </row>
    <row r="117" spans="1:38" ht="15" customHeight="1" x14ac:dyDescent="0.25">
      <c r="A117" s="7" t="s">
        <v>144</v>
      </c>
      <c r="B117" s="11" t="s">
        <v>88</v>
      </c>
      <c r="C117" s="16">
        <v>1.1424179999999999</v>
      </c>
      <c r="D117" s="16">
        <v>1.155046</v>
      </c>
      <c r="E117" s="16">
        <v>1.095313</v>
      </c>
      <c r="F117" s="16">
        <v>1.1271850000000001</v>
      </c>
      <c r="G117" s="16">
        <v>1.1896659999999999</v>
      </c>
      <c r="H117" s="16">
        <v>1.181157</v>
      </c>
      <c r="I117" s="16">
        <v>1.149127</v>
      </c>
      <c r="J117" s="16">
        <v>1.148889</v>
      </c>
      <c r="K117" s="16">
        <v>1.1678090000000001</v>
      </c>
      <c r="L117" s="16">
        <v>1.174385</v>
      </c>
      <c r="M117" s="16">
        <v>1.1756869999999999</v>
      </c>
      <c r="N117" s="16">
        <v>1.179454</v>
      </c>
      <c r="O117" s="16">
        <v>1.181495</v>
      </c>
      <c r="P117" s="16">
        <v>1.1673610000000001</v>
      </c>
      <c r="Q117" s="16">
        <v>1.176609</v>
      </c>
      <c r="R117" s="16">
        <v>1.182785</v>
      </c>
      <c r="S117" s="16">
        <v>1.1802440000000001</v>
      </c>
      <c r="T117" s="16">
        <v>1.185325</v>
      </c>
      <c r="U117" s="16">
        <v>1.187592</v>
      </c>
      <c r="V117" s="16">
        <v>1.1901839999999999</v>
      </c>
      <c r="W117" s="16">
        <v>1.1913990000000001</v>
      </c>
      <c r="X117" s="16">
        <v>1.2014579999999999</v>
      </c>
      <c r="Y117" s="16">
        <v>1.1983490000000001</v>
      </c>
      <c r="Z117" s="16">
        <v>1.197155</v>
      </c>
      <c r="AA117" s="16">
        <v>1.197921</v>
      </c>
      <c r="AB117" s="16">
        <v>1.201802</v>
      </c>
      <c r="AC117" s="16">
        <v>1.2007829999999999</v>
      </c>
      <c r="AD117" s="16">
        <v>1.202402</v>
      </c>
      <c r="AE117" s="16">
        <v>1.19747</v>
      </c>
      <c r="AF117" s="16">
        <v>1.194682</v>
      </c>
      <c r="AG117" s="16">
        <v>1.192434</v>
      </c>
      <c r="AH117" s="16">
        <v>1.1948160000000001</v>
      </c>
      <c r="AI117" s="16">
        <v>1.2008430000000001</v>
      </c>
      <c r="AJ117" s="16">
        <v>1.199273</v>
      </c>
      <c r="AK117" s="16">
        <v>1.192323</v>
      </c>
      <c r="AL117" s="13">
        <v>9.6299999999999999E-4</v>
      </c>
    </row>
    <row r="118" spans="1:38" ht="15" customHeight="1" x14ac:dyDescent="0.25">
      <c r="A118" s="7" t="s">
        <v>145</v>
      </c>
      <c r="B118" s="11" t="s">
        <v>118</v>
      </c>
      <c r="C118" s="16">
        <v>0.82950999999999997</v>
      </c>
      <c r="D118" s="16">
        <v>0.81685200000000002</v>
      </c>
      <c r="E118" s="16">
        <v>0.81067199999999995</v>
      </c>
      <c r="F118" s="16">
        <v>0.84982599999999997</v>
      </c>
      <c r="G118" s="16">
        <v>0.85084300000000002</v>
      </c>
      <c r="H118" s="16">
        <v>0.85210699999999995</v>
      </c>
      <c r="I118" s="16">
        <v>0.85360999999999998</v>
      </c>
      <c r="J118" s="16">
        <v>0.85492999999999997</v>
      </c>
      <c r="K118" s="16">
        <v>0.84878699999999996</v>
      </c>
      <c r="L118" s="16">
        <v>0.85799099999999995</v>
      </c>
      <c r="M118" s="16">
        <v>0.85236299999999998</v>
      </c>
      <c r="N118" s="16">
        <v>0.853823</v>
      </c>
      <c r="O118" s="16">
        <v>0.86012299999999997</v>
      </c>
      <c r="P118" s="16">
        <v>0.86137300000000006</v>
      </c>
      <c r="Q118" s="16">
        <v>0.86322200000000004</v>
      </c>
      <c r="R118" s="16">
        <v>0.85932799999999998</v>
      </c>
      <c r="S118" s="16">
        <v>0.86175599999999997</v>
      </c>
      <c r="T118" s="16">
        <v>0.85922799999999999</v>
      </c>
      <c r="U118" s="16">
        <v>0.86110600000000004</v>
      </c>
      <c r="V118" s="16">
        <v>0.86265000000000003</v>
      </c>
      <c r="W118" s="16">
        <v>0.86264600000000002</v>
      </c>
      <c r="X118" s="16">
        <v>0.86263900000000004</v>
      </c>
      <c r="Y118" s="16">
        <v>0.86263900000000004</v>
      </c>
      <c r="Z118" s="16">
        <v>0.86262399999999995</v>
      </c>
      <c r="AA118" s="16">
        <v>0.85707999999999995</v>
      </c>
      <c r="AB118" s="16">
        <v>0.85840399999999994</v>
      </c>
      <c r="AC118" s="16">
        <v>0.85700100000000001</v>
      </c>
      <c r="AD118" s="16">
        <v>0.84587100000000004</v>
      </c>
      <c r="AE118" s="16">
        <v>0.84537200000000001</v>
      </c>
      <c r="AF118" s="16">
        <v>0.84265199999999996</v>
      </c>
      <c r="AG118" s="16">
        <v>0.83565999999999996</v>
      </c>
      <c r="AH118" s="16">
        <v>0.83198499999999997</v>
      </c>
      <c r="AI118" s="16">
        <v>0.83059499999999997</v>
      </c>
      <c r="AJ118" s="16">
        <v>0.82896599999999998</v>
      </c>
      <c r="AK118" s="16">
        <v>0.82509299999999997</v>
      </c>
      <c r="AL118" s="13">
        <v>3.0400000000000002E-4</v>
      </c>
    </row>
    <row r="119" spans="1:38" ht="15" customHeight="1" x14ac:dyDescent="0.25">
      <c r="A119" s="7" t="s">
        <v>146</v>
      </c>
      <c r="B119" s="11" t="s">
        <v>90</v>
      </c>
      <c r="C119" s="16">
        <v>1.469233</v>
      </c>
      <c r="D119" s="16">
        <v>1.459233</v>
      </c>
      <c r="E119" s="16">
        <v>1.4164330000000001</v>
      </c>
      <c r="F119" s="16">
        <v>1.4860139999999999</v>
      </c>
      <c r="G119" s="16">
        <v>1.5552649999999999</v>
      </c>
      <c r="H119" s="16">
        <v>1.600317</v>
      </c>
      <c r="I119" s="16">
        <v>1.647076</v>
      </c>
      <c r="J119" s="16">
        <v>1.690185</v>
      </c>
      <c r="K119" s="16">
        <v>1.733206</v>
      </c>
      <c r="L119" s="16">
        <v>1.760251</v>
      </c>
      <c r="M119" s="16">
        <v>1.7946759999999999</v>
      </c>
      <c r="N119" s="16">
        <v>1.8364100000000001</v>
      </c>
      <c r="O119" s="16">
        <v>1.882612</v>
      </c>
      <c r="P119" s="16">
        <v>1.9215420000000001</v>
      </c>
      <c r="Q119" s="16">
        <v>1.971759</v>
      </c>
      <c r="R119" s="16">
        <v>2.0215770000000002</v>
      </c>
      <c r="S119" s="16">
        <v>2.0649220000000001</v>
      </c>
      <c r="T119" s="16">
        <v>2.1000809999999999</v>
      </c>
      <c r="U119" s="16">
        <v>2.1372070000000001</v>
      </c>
      <c r="V119" s="16">
        <v>2.165003</v>
      </c>
      <c r="W119" s="16">
        <v>2.2017600000000002</v>
      </c>
      <c r="X119" s="16">
        <v>2.232297</v>
      </c>
      <c r="Y119" s="16">
        <v>2.265584</v>
      </c>
      <c r="Z119" s="16">
        <v>2.2999830000000001</v>
      </c>
      <c r="AA119" s="16">
        <v>2.3384119999999999</v>
      </c>
      <c r="AB119" s="16">
        <v>2.3817490000000001</v>
      </c>
      <c r="AC119" s="16">
        <v>2.421907</v>
      </c>
      <c r="AD119" s="16">
        <v>2.4586239999999999</v>
      </c>
      <c r="AE119" s="16">
        <v>2.4959790000000002</v>
      </c>
      <c r="AF119" s="16">
        <v>2.529992</v>
      </c>
      <c r="AG119" s="16">
        <v>2.563129</v>
      </c>
      <c r="AH119" s="16">
        <v>2.5985079999999998</v>
      </c>
      <c r="AI119" s="16">
        <v>2.6284459999999998</v>
      </c>
      <c r="AJ119" s="16">
        <v>2.6546370000000001</v>
      </c>
      <c r="AK119" s="16">
        <v>2.6843360000000001</v>
      </c>
      <c r="AL119" s="13">
        <v>1.8641999999999999E-2</v>
      </c>
    </row>
    <row r="120" spans="1:38" ht="15" customHeight="1" x14ac:dyDescent="0.25">
      <c r="A120" s="7" t="s">
        <v>147</v>
      </c>
      <c r="B120" s="11" t="s">
        <v>92</v>
      </c>
      <c r="C120" s="16">
        <v>3.1945000000000001</v>
      </c>
      <c r="D120" s="16">
        <v>3.2263999999999999</v>
      </c>
      <c r="E120" s="16">
        <v>3.2715000000000001</v>
      </c>
      <c r="F120" s="16">
        <v>3.39642</v>
      </c>
      <c r="G120" s="16">
        <v>3.49227</v>
      </c>
      <c r="H120" s="16">
        <v>3.5442480000000001</v>
      </c>
      <c r="I120" s="16">
        <v>3.6001590000000001</v>
      </c>
      <c r="J120" s="16">
        <v>3.6590449999999999</v>
      </c>
      <c r="K120" s="16">
        <v>3.7172550000000002</v>
      </c>
      <c r="L120" s="16">
        <v>3.7472409999999998</v>
      </c>
      <c r="M120" s="16">
        <v>3.7774040000000002</v>
      </c>
      <c r="N120" s="16">
        <v>3.8157030000000001</v>
      </c>
      <c r="O120" s="16">
        <v>3.8521800000000002</v>
      </c>
      <c r="P120" s="16">
        <v>3.8748269999999998</v>
      </c>
      <c r="Q120" s="16">
        <v>3.8898890000000002</v>
      </c>
      <c r="R120" s="16">
        <v>3.908849</v>
      </c>
      <c r="S120" s="16">
        <v>3.9204330000000001</v>
      </c>
      <c r="T120" s="16">
        <v>3.9365860000000001</v>
      </c>
      <c r="U120" s="16">
        <v>3.9548999999999999</v>
      </c>
      <c r="V120" s="16">
        <v>3.9777779999999998</v>
      </c>
      <c r="W120" s="16">
        <v>3.9999899999999999</v>
      </c>
      <c r="X120" s="16">
        <v>4.0250589999999997</v>
      </c>
      <c r="Y120" s="16">
        <v>4.0549720000000002</v>
      </c>
      <c r="Z120" s="16">
        <v>4.0775100000000002</v>
      </c>
      <c r="AA120" s="16">
        <v>4.1006140000000002</v>
      </c>
      <c r="AB120" s="16">
        <v>4.1252019999999998</v>
      </c>
      <c r="AC120" s="16">
        <v>4.1440840000000003</v>
      </c>
      <c r="AD120" s="16">
        <v>4.1614319999999996</v>
      </c>
      <c r="AE120" s="16">
        <v>4.1760409999999997</v>
      </c>
      <c r="AF120" s="16">
        <v>4.1907430000000003</v>
      </c>
      <c r="AG120" s="16">
        <v>4.2093749999999996</v>
      </c>
      <c r="AH120" s="16">
        <v>4.2248299999999999</v>
      </c>
      <c r="AI120" s="16">
        <v>4.2357329999999997</v>
      </c>
      <c r="AJ120" s="16">
        <v>4.2441959999999996</v>
      </c>
      <c r="AK120" s="16">
        <v>4.2570459999999999</v>
      </c>
      <c r="AL120" s="13">
        <v>8.4360000000000008E-3</v>
      </c>
    </row>
    <row r="121" spans="1:38" ht="15" customHeight="1" x14ac:dyDescent="0.25">
      <c r="A121" s="7" t="s">
        <v>148</v>
      </c>
      <c r="B121" s="10" t="s">
        <v>94</v>
      </c>
      <c r="C121" s="17">
        <v>24.462305000000001</v>
      </c>
      <c r="D121" s="17">
        <v>24.784931</v>
      </c>
      <c r="E121" s="17">
        <v>25.613337999999999</v>
      </c>
      <c r="F121" s="17">
        <v>26.416637000000001</v>
      </c>
      <c r="G121" s="17">
        <v>27.259235</v>
      </c>
      <c r="H121" s="17">
        <v>27.647058000000001</v>
      </c>
      <c r="I121" s="17">
        <v>28.033740999999999</v>
      </c>
      <c r="J121" s="17">
        <v>28.466984</v>
      </c>
      <c r="K121" s="17">
        <v>28.828444999999999</v>
      </c>
      <c r="L121" s="17">
        <v>29.05986</v>
      </c>
      <c r="M121" s="17">
        <v>29.247526000000001</v>
      </c>
      <c r="N121" s="17">
        <v>29.555962000000001</v>
      </c>
      <c r="O121" s="17">
        <v>29.892702</v>
      </c>
      <c r="P121" s="17">
        <v>30.132679</v>
      </c>
      <c r="Q121" s="17">
        <v>30.376937999999999</v>
      </c>
      <c r="R121" s="17">
        <v>30.645643</v>
      </c>
      <c r="S121" s="17">
        <v>30.836749999999999</v>
      </c>
      <c r="T121" s="17">
        <v>31.048704000000001</v>
      </c>
      <c r="U121" s="17">
        <v>31.250703999999999</v>
      </c>
      <c r="V121" s="17">
        <v>31.453102000000001</v>
      </c>
      <c r="W121" s="17">
        <v>31.635232999999999</v>
      </c>
      <c r="X121" s="17">
        <v>31.908211000000001</v>
      </c>
      <c r="Y121" s="17">
        <v>32.209319999999998</v>
      </c>
      <c r="Z121" s="17">
        <v>32.416496000000002</v>
      </c>
      <c r="AA121" s="17">
        <v>32.627110000000002</v>
      </c>
      <c r="AB121" s="17">
        <v>32.838462999999997</v>
      </c>
      <c r="AC121" s="17">
        <v>32.983806999999999</v>
      </c>
      <c r="AD121" s="17">
        <v>33.149075000000003</v>
      </c>
      <c r="AE121" s="17">
        <v>33.290286999999999</v>
      </c>
      <c r="AF121" s="17">
        <v>33.448028999999998</v>
      </c>
      <c r="AG121" s="17">
        <v>33.580264999999997</v>
      </c>
      <c r="AH121" s="17">
        <v>33.745674000000001</v>
      </c>
      <c r="AI121" s="17">
        <v>33.917651999999997</v>
      </c>
      <c r="AJ121" s="17">
        <v>34.053429000000001</v>
      </c>
      <c r="AK121" s="17">
        <v>34.218113000000002</v>
      </c>
      <c r="AL121" s="15">
        <v>9.8209999999999999E-3</v>
      </c>
    </row>
    <row r="122" spans="1:38" ht="15" customHeight="1" x14ac:dyDescent="0.25">
      <c r="A122" s="7" t="s">
        <v>149</v>
      </c>
      <c r="B122" s="11" t="s">
        <v>96</v>
      </c>
      <c r="C122" s="16">
        <v>6.3741960000000004</v>
      </c>
      <c r="D122" s="16">
        <v>6.3446150000000001</v>
      </c>
      <c r="E122" s="16">
        <v>6.3937710000000001</v>
      </c>
      <c r="F122" s="16">
        <v>6.5854939999999997</v>
      </c>
      <c r="G122" s="16">
        <v>6.7497730000000002</v>
      </c>
      <c r="H122" s="16">
        <v>6.7938349999999996</v>
      </c>
      <c r="I122" s="16">
        <v>6.8454139999999999</v>
      </c>
      <c r="J122" s="16">
        <v>6.8988750000000003</v>
      </c>
      <c r="K122" s="16">
        <v>7.0050739999999996</v>
      </c>
      <c r="L122" s="16">
        <v>7.0444370000000003</v>
      </c>
      <c r="M122" s="16">
        <v>7.0873109999999997</v>
      </c>
      <c r="N122" s="16">
        <v>7.1379159999999997</v>
      </c>
      <c r="O122" s="16">
        <v>7.1813180000000001</v>
      </c>
      <c r="P122" s="16">
        <v>7.2087770000000004</v>
      </c>
      <c r="Q122" s="16">
        <v>7.2142749999999998</v>
      </c>
      <c r="R122" s="16">
        <v>7.2153499999999999</v>
      </c>
      <c r="S122" s="16">
        <v>7.2166090000000001</v>
      </c>
      <c r="T122" s="16">
        <v>7.2339700000000002</v>
      </c>
      <c r="U122" s="16">
        <v>7.2468700000000004</v>
      </c>
      <c r="V122" s="16">
        <v>7.2795500000000004</v>
      </c>
      <c r="W122" s="16">
        <v>7.300433</v>
      </c>
      <c r="X122" s="16">
        <v>7.3284190000000002</v>
      </c>
      <c r="Y122" s="16">
        <v>7.3630950000000004</v>
      </c>
      <c r="Z122" s="16">
        <v>7.3881230000000002</v>
      </c>
      <c r="AA122" s="16">
        <v>7.4145760000000003</v>
      </c>
      <c r="AB122" s="16">
        <v>7.4327480000000001</v>
      </c>
      <c r="AC122" s="16">
        <v>7.4347320000000003</v>
      </c>
      <c r="AD122" s="16">
        <v>7.4396579999999997</v>
      </c>
      <c r="AE122" s="16">
        <v>7.4397039999999999</v>
      </c>
      <c r="AF122" s="16">
        <v>7.4315540000000002</v>
      </c>
      <c r="AG122" s="16">
        <v>7.4333</v>
      </c>
      <c r="AH122" s="16">
        <v>7.4330309999999997</v>
      </c>
      <c r="AI122" s="16">
        <v>7.427473</v>
      </c>
      <c r="AJ122" s="16">
        <v>7.4203419999999998</v>
      </c>
      <c r="AK122" s="16">
        <v>7.3965699999999996</v>
      </c>
      <c r="AL122" s="13">
        <v>4.6600000000000001E-3</v>
      </c>
    </row>
    <row r="123" spans="1:38" ht="15" customHeight="1" x14ac:dyDescent="0.25">
      <c r="A123" s="7" t="s">
        <v>150</v>
      </c>
      <c r="B123" s="10" t="s">
        <v>24</v>
      </c>
      <c r="C123" s="17">
        <v>30.836500000000001</v>
      </c>
      <c r="D123" s="17">
        <v>31.129545</v>
      </c>
      <c r="E123" s="17">
        <v>32.007111000000002</v>
      </c>
      <c r="F123" s="17">
        <v>33.002132000000003</v>
      </c>
      <c r="G123" s="17">
        <v>34.009010000000004</v>
      </c>
      <c r="H123" s="17">
        <v>34.440894999999998</v>
      </c>
      <c r="I123" s="17">
        <v>34.879154</v>
      </c>
      <c r="J123" s="17">
        <v>35.365859999999998</v>
      </c>
      <c r="K123" s="17">
        <v>35.833519000000003</v>
      </c>
      <c r="L123" s="17">
        <v>36.104298</v>
      </c>
      <c r="M123" s="17">
        <v>36.334839000000002</v>
      </c>
      <c r="N123" s="17">
        <v>36.693877999999998</v>
      </c>
      <c r="O123" s="17">
        <v>37.074019999999997</v>
      </c>
      <c r="P123" s="17">
        <v>37.341456999999998</v>
      </c>
      <c r="Q123" s="17">
        <v>37.591213000000003</v>
      </c>
      <c r="R123" s="17">
        <v>37.860992000000003</v>
      </c>
      <c r="S123" s="17">
        <v>38.053359999999998</v>
      </c>
      <c r="T123" s="17">
        <v>38.282673000000003</v>
      </c>
      <c r="U123" s="17">
        <v>38.497574</v>
      </c>
      <c r="V123" s="17">
        <v>38.732650999999997</v>
      </c>
      <c r="W123" s="17">
        <v>38.935665</v>
      </c>
      <c r="X123" s="17">
        <v>39.236629000000001</v>
      </c>
      <c r="Y123" s="17">
        <v>39.572414000000002</v>
      </c>
      <c r="Z123" s="17">
        <v>39.804619000000002</v>
      </c>
      <c r="AA123" s="17">
        <v>40.041687000000003</v>
      </c>
      <c r="AB123" s="17">
        <v>40.271210000000004</v>
      </c>
      <c r="AC123" s="17">
        <v>40.418537000000001</v>
      </c>
      <c r="AD123" s="17">
        <v>40.588734000000002</v>
      </c>
      <c r="AE123" s="17">
        <v>40.729992000000003</v>
      </c>
      <c r="AF123" s="17">
        <v>40.879581000000002</v>
      </c>
      <c r="AG123" s="17">
        <v>41.013565</v>
      </c>
      <c r="AH123" s="17">
        <v>41.178702999999999</v>
      </c>
      <c r="AI123" s="17">
        <v>41.345123000000001</v>
      </c>
      <c r="AJ123" s="17">
        <v>41.473770000000002</v>
      </c>
      <c r="AK123" s="17">
        <v>41.614680999999997</v>
      </c>
      <c r="AL123" s="15">
        <v>8.8360000000000001E-3</v>
      </c>
    </row>
    <row r="125" spans="1:38" ht="15" customHeight="1" x14ac:dyDescent="0.25">
      <c r="B125" s="10" t="s">
        <v>151</v>
      </c>
    </row>
    <row r="126" spans="1:38" ht="15" customHeight="1" x14ac:dyDescent="0.25">
      <c r="B126" s="10" t="s">
        <v>10</v>
      </c>
    </row>
    <row r="127" spans="1:38" ht="15" customHeight="1" x14ac:dyDescent="0.25">
      <c r="A127" s="7" t="s">
        <v>152</v>
      </c>
      <c r="B127" s="11" t="s">
        <v>100</v>
      </c>
      <c r="C127" s="16">
        <v>5.6486000000000001E-2</v>
      </c>
      <c r="D127" s="16">
        <v>5.1831000000000002E-2</v>
      </c>
      <c r="E127" s="16">
        <v>5.8999999999999997E-2</v>
      </c>
      <c r="F127" s="16">
        <v>2.5944999999999999E-2</v>
      </c>
      <c r="G127" s="16">
        <v>2.5211999999999998E-2</v>
      </c>
      <c r="H127" s="16">
        <v>2.4913000000000001E-2</v>
      </c>
      <c r="I127" s="16">
        <v>2.4667999999999999E-2</v>
      </c>
      <c r="J127" s="16">
        <v>2.4414000000000002E-2</v>
      </c>
      <c r="K127" s="16">
        <v>2.4228E-2</v>
      </c>
      <c r="L127" s="16">
        <v>2.4018999999999999E-2</v>
      </c>
      <c r="M127" s="16">
        <v>2.3779999999999999E-2</v>
      </c>
      <c r="N127" s="16">
        <v>2.3553999999999999E-2</v>
      </c>
      <c r="O127" s="16">
        <v>2.3279000000000001E-2</v>
      </c>
      <c r="P127" s="16">
        <v>2.2981999999999999E-2</v>
      </c>
      <c r="Q127" s="16">
        <v>2.2714000000000002E-2</v>
      </c>
      <c r="R127" s="16">
        <v>2.2446000000000001E-2</v>
      </c>
      <c r="S127" s="16">
        <v>2.2225000000000002E-2</v>
      </c>
      <c r="T127" s="16">
        <v>2.1932E-2</v>
      </c>
      <c r="U127" s="16">
        <v>2.1690000000000001E-2</v>
      </c>
      <c r="V127" s="16">
        <v>2.1441000000000002E-2</v>
      </c>
      <c r="W127" s="16">
        <v>2.1215000000000001E-2</v>
      </c>
      <c r="X127" s="16">
        <v>2.1007000000000001E-2</v>
      </c>
      <c r="Y127" s="16">
        <v>2.0795000000000001E-2</v>
      </c>
      <c r="Z127" s="16">
        <v>2.0594000000000001E-2</v>
      </c>
      <c r="AA127" s="16">
        <v>2.0396000000000001E-2</v>
      </c>
      <c r="AB127" s="16">
        <v>2.0199999999999999E-2</v>
      </c>
      <c r="AC127" s="16">
        <v>2.002E-2</v>
      </c>
      <c r="AD127" s="16">
        <v>1.9834999999999998E-2</v>
      </c>
      <c r="AE127" s="16">
        <v>1.9668999999999999E-2</v>
      </c>
      <c r="AF127" s="16">
        <v>1.9497E-2</v>
      </c>
      <c r="AG127" s="16">
        <v>1.9349999999999999E-2</v>
      </c>
      <c r="AH127" s="16">
        <v>1.9188E-2</v>
      </c>
      <c r="AI127" s="16">
        <v>1.9030999999999999E-2</v>
      </c>
      <c r="AJ127" s="16">
        <v>1.8873000000000001E-2</v>
      </c>
      <c r="AK127" s="16">
        <v>1.8719E-2</v>
      </c>
      <c r="AL127" s="13">
        <v>-3.0391000000000001E-2</v>
      </c>
    </row>
    <row r="128" spans="1:38" ht="15" customHeight="1" x14ac:dyDescent="0.25">
      <c r="A128" s="7" t="s">
        <v>153</v>
      </c>
      <c r="B128" s="11" t="s">
        <v>64</v>
      </c>
      <c r="C128" s="16">
        <v>0.309618</v>
      </c>
      <c r="D128" s="16">
        <v>0.31032399999999999</v>
      </c>
      <c r="E128" s="16">
        <v>0.338254</v>
      </c>
      <c r="F128" s="16">
        <v>0.35222500000000001</v>
      </c>
      <c r="G128" s="16">
        <v>0.36279299999999998</v>
      </c>
      <c r="H128" s="16">
        <v>0.36792000000000002</v>
      </c>
      <c r="I128" s="16">
        <v>0.37215900000000002</v>
      </c>
      <c r="J128" s="16">
        <v>0.37788699999999997</v>
      </c>
      <c r="K128" s="16">
        <v>0.384774</v>
      </c>
      <c r="L128" s="16">
        <v>0.384349</v>
      </c>
      <c r="M128" s="16">
        <v>0.38186100000000001</v>
      </c>
      <c r="N128" s="16">
        <v>0.38147199999999998</v>
      </c>
      <c r="O128" s="16">
        <v>0.38248799999999999</v>
      </c>
      <c r="P128" s="16">
        <v>0.38234400000000002</v>
      </c>
      <c r="Q128" s="16">
        <v>0.38148799999999999</v>
      </c>
      <c r="R128" s="16">
        <v>0.37959199999999998</v>
      </c>
      <c r="S128" s="16">
        <v>0.37620599999999998</v>
      </c>
      <c r="T128" s="16">
        <v>0.37493599999999999</v>
      </c>
      <c r="U128" s="16">
        <v>0.370284</v>
      </c>
      <c r="V128" s="16">
        <v>0.36514600000000003</v>
      </c>
      <c r="W128" s="16">
        <v>0.36091800000000002</v>
      </c>
      <c r="X128" s="16">
        <v>0.35861900000000002</v>
      </c>
      <c r="Y128" s="16">
        <v>0.35798799999999997</v>
      </c>
      <c r="Z128" s="16">
        <v>0.353715</v>
      </c>
      <c r="AA128" s="16">
        <v>0.34834599999999999</v>
      </c>
      <c r="AB128" s="16">
        <v>0.34383000000000002</v>
      </c>
      <c r="AC128" s="16">
        <v>0.338202</v>
      </c>
      <c r="AD128" s="16">
        <v>0.33310200000000001</v>
      </c>
      <c r="AE128" s="16">
        <v>0.32824500000000001</v>
      </c>
      <c r="AF128" s="16">
        <v>0.323849</v>
      </c>
      <c r="AG128" s="16">
        <v>0.31904900000000003</v>
      </c>
      <c r="AH128" s="16">
        <v>0.31483299999999997</v>
      </c>
      <c r="AI128" s="16">
        <v>0.31085600000000002</v>
      </c>
      <c r="AJ128" s="16">
        <v>0.30690600000000001</v>
      </c>
      <c r="AK128" s="16">
        <v>0.30317100000000002</v>
      </c>
      <c r="AL128" s="13">
        <v>-7.0600000000000003E-4</v>
      </c>
    </row>
    <row r="129" spans="1:38" ht="15" customHeight="1" x14ac:dyDescent="0.25">
      <c r="A129" s="7" t="s">
        <v>154</v>
      </c>
      <c r="B129" s="11" t="s">
        <v>28</v>
      </c>
      <c r="C129" s="16">
        <v>3.5844000000000001E-2</v>
      </c>
      <c r="D129" s="16">
        <v>3.4602000000000001E-2</v>
      </c>
      <c r="E129" s="16">
        <v>3.4596000000000002E-2</v>
      </c>
      <c r="F129" s="16">
        <v>3.3926999999999999E-2</v>
      </c>
      <c r="G129" s="16">
        <v>3.3402000000000001E-2</v>
      </c>
      <c r="H129" s="16">
        <v>3.3051999999999998E-2</v>
      </c>
      <c r="I129" s="16">
        <v>3.2728E-2</v>
      </c>
      <c r="J129" s="16">
        <v>3.2335000000000003E-2</v>
      </c>
      <c r="K129" s="16">
        <v>3.1965E-2</v>
      </c>
      <c r="L129" s="16">
        <v>3.1556000000000001E-2</v>
      </c>
      <c r="M129" s="16">
        <v>3.1182999999999999E-2</v>
      </c>
      <c r="N129" s="16">
        <v>3.0866999999999999E-2</v>
      </c>
      <c r="O129" s="16">
        <v>3.0370999999999999E-2</v>
      </c>
      <c r="P129" s="16">
        <v>2.9961000000000002E-2</v>
      </c>
      <c r="Q129" s="16">
        <v>2.9544000000000001E-2</v>
      </c>
      <c r="R129" s="16">
        <v>2.9166000000000001E-2</v>
      </c>
      <c r="S129" s="16">
        <v>2.8843000000000001E-2</v>
      </c>
      <c r="T129" s="16">
        <v>2.8487999999999999E-2</v>
      </c>
      <c r="U129" s="16">
        <v>2.8143000000000001E-2</v>
      </c>
      <c r="V129" s="16">
        <v>2.777E-2</v>
      </c>
      <c r="W129" s="16">
        <v>2.7425999999999999E-2</v>
      </c>
      <c r="X129" s="16">
        <v>2.7126000000000001E-2</v>
      </c>
      <c r="Y129" s="16">
        <v>2.6790000000000001E-2</v>
      </c>
      <c r="Z129" s="16">
        <v>2.6516000000000001E-2</v>
      </c>
      <c r="AA129" s="16">
        <v>2.6235999999999999E-2</v>
      </c>
      <c r="AB129" s="16">
        <v>2.5944999999999999E-2</v>
      </c>
      <c r="AC129" s="16">
        <v>2.571E-2</v>
      </c>
      <c r="AD129" s="16">
        <v>2.5447000000000001E-2</v>
      </c>
      <c r="AE129" s="16">
        <v>2.5173999999999998E-2</v>
      </c>
      <c r="AF129" s="16">
        <v>2.4882000000000001E-2</v>
      </c>
      <c r="AG129" s="16">
        <v>2.4615999999999999E-2</v>
      </c>
      <c r="AH129" s="16">
        <v>2.4374E-2</v>
      </c>
      <c r="AI129" s="16">
        <v>2.4147999999999999E-2</v>
      </c>
      <c r="AJ129" s="16">
        <v>2.3939999999999999E-2</v>
      </c>
      <c r="AK129" s="16">
        <v>2.3727000000000002E-2</v>
      </c>
      <c r="AL129" s="13">
        <v>-1.1368E-2</v>
      </c>
    </row>
    <row r="130" spans="1:38" ht="15" customHeight="1" x14ac:dyDescent="0.25">
      <c r="A130" s="7" t="s">
        <v>155</v>
      </c>
      <c r="B130" s="11" t="s">
        <v>30</v>
      </c>
      <c r="C130" s="16">
        <v>0.15562999999999999</v>
      </c>
      <c r="D130" s="16">
        <v>0.153112</v>
      </c>
      <c r="E130" s="16">
        <v>0.15578500000000001</v>
      </c>
      <c r="F130" s="16">
        <v>0.154142</v>
      </c>
      <c r="G130" s="16">
        <v>0.15237999999999999</v>
      </c>
      <c r="H130" s="16">
        <v>0.15148</v>
      </c>
      <c r="I130" s="16">
        <v>0.15065300000000001</v>
      </c>
      <c r="J130" s="16">
        <v>0.14964</v>
      </c>
      <c r="K130" s="16">
        <v>0.149141</v>
      </c>
      <c r="L130" s="16">
        <v>0.14799200000000001</v>
      </c>
      <c r="M130" s="16">
        <v>0.14668900000000001</v>
      </c>
      <c r="N130" s="16">
        <v>0.145347</v>
      </c>
      <c r="O130" s="16">
        <v>0.14405799999999999</v>
      </c>
      <c r="P130" s="16">
        <v>0.142459</v>
      </c>
      <c r="Q130" s="16">
        <v>0.14102999999999999</v>
      </c>
      <c r="R130" s="16">
        <v>0.13958799999999999</v>
      </c>
      <c r="S130" s="16">
        <v>0.13808500000000001</v>
      </c>
      <c r="T130" s="16">
        <v>0.13661599999999999</v>
      </c>
      <c r="U130" s="16">
        <v>0.13541700000000001</v>
      </c>
      <c r="V130" s="16">
        <v>0.13419900000000001</v>
      </c>
      <c r="W130" s="16">
        <v>0.133074</v>
      </c>
      <c r="X130" s="16">
        <v>0.13200999999999999</v>
      </c>
      <c r="Y130" s="16">
        <v>0.13106499999999999</v>
      </c>
      <c r="Z130" s="16">
        <v>0.13003200000000001</v>
      </c>
      <c r="AA130" s="16">
        <v>0.129078</v>
      </c>
      <c r="AB130" s="16">
        <v>0.12826599999999999</v>
      </c>
      <c r="AC130" s="16">
        <v>0.12739600000000001</v>
      </c>
      <c r="AD130" s="16">
        <v>0.12656400000000001</v>
      </c>
      <c r="AE130" s="16">
        <v>0.12581100000000001</v>
      </c>
      <c r="AF130" s="16">
        <v>0.12501000000000001</v>
      </c>
      <c r="AG130" s="16">
        <v>0.124393</v>
      </c>
      <c r="AH130" s="16">
        <v>0.123735</v>
      </c>
      <c r="AI130" s="16">
        <v>0.12307899999999999</v>
      </c>
      <c r="AJ130" s="16">
        <v>0.122406</v>
      </c>
      <c r="AK130" s="16">
        <v>0.121748</v>
      </c>
      <c r="AL130" s="13">
        <v>-6.9220000000000002E-3</v>
      </c>
    </row>
    <row r="131" spans="1:38" ht="15" customHeight="1" x14ac:dyDescent="0.25">
      <c r="A131" s="7" t="s">
        <v>156</v>
      </c>
      <c r="B131" s="11" t="s">
        <v>32</v>
      </c>
      <c r="C131" s="16">
        <v>6.326E-3</v>
      </c>
      <c r="D131" s="16">
        <v>6.1520000000000004E-3</v>
      </c>
      <c r="E131" s="16">
        <v>6.0549999999999996E-3</v>
      </c>
      <c r="F131" s="16">
        <v>5.4359999999999999E-3</v>
      </c>
      <c r="G131" s="16">
        <v>4.8690000000000001E-3</v>
      </c>
      <c r="H131" s="16">
        <v>4.5859999999999998E-3</v>
      </c>
      <c r="I131" s="16">
        <v>4.3689999999999996E-3</v>
      </c>
      <c r="J131" s="16">
        <v>4.176E-3</v>
      </c>
      <c r="K131" s="16">
        <v>4.0099999999999997E-3</v>
      </c>
      <c r="L131" s="16">
        <v>3.9020000000000001E-3</v>
      </c>
      <c r="M131" s="16">
        <v>3.7820000000000002E-3</v>
      </c>
      <c r="N131" s="16">
        <v>3.679E-3</v>
      </c>
      <c r="O131" s="16">
        <v>3.5669999999999999E-3</v>
      </c>
      <c r="P131" s="16">
        <v>3.5360000000000001E-3</v>
      </c>
      <c r="Q131" s="16">
        <v>3.503E-3</v>
      </c>
      <c r="R131" s="16">
        <v>3.4689999999999999E-3</v>
      </c>
      <c r="S131" s="16">
        <v>3.4329999999999999E-3</v>
      </c>
      <c r="T131" s="16">
        <v>3.3990000000000001E-3</v>
      </c>
      <c r="U131" s="16">
        <v>3.3679999999999999E-3</v>
      </c>
      <c r="V131" s="16">
        <v>3.3340000000000002E-3</v>
      </c>
      <c r="W131" s="16">
        <v>3.31E-3</v>
      </c>
      <c r="X131" s="16">
        <v>3.2810000000000001E-3</v>
      </c>
      <c r="Y131" s="16">
        <v>3.2460000000000002E-3</v>
      </c>
      <c r="Z131" s="16">
        <v>3.2200000000000002E-3</v>
      </c>
      <c r="AA131" s="16">
        <v>3.1979999999999999E-3</v>
      </c>
      <c r="AB131" s="16">
        <v>3.1740000000000002E-3</v>
      </c>
      <c r="AC131" s="16">
        <v>3.1540000000000001E-3</v>
      </c>
      <c r="AD131" s="16">
        <v>3.13E-3</v>
      </c>
      <c r="AE131" s="16">
        <v>3.1059999999999998E-3</v>
      </c>
      <c r="AF131" s="16">
        <v>3.0760000000000002E-3</v>
      </c>
      <c r="AG131" s="16">
        <v>3.0560000000000001E-3</v>
      </c>
      <c r="AH131" s="16">
        <v>3.0379999999999999E-3</v>
      </c>
      <c r="AI131" s="16">
        <v>3.0179999999999998E-3</v>
      </c>
      <c r="AJ131" s="16">
        <v>3.0010000000000002E-3</v>
      </c>
      <c r="AK131" s="16">
        <v>2.983E-3</v>
      </c>
      <c r="AL131" s="13">
        <v>-2.1696E-2</v>
      </c>
    </row>
    <row r="132" spans="1:38" ht="15" customHeight="1" x14ac:dyDescent="0.25">
      <c r="A132" s="7" t="s">
        <v>157</v>
      </c>
      <c r="B132" s="11" t="s">
        <v>69</v>
      </c>
      <c r="C132" s="16">
        <v>8.7598999999999996E-2</v>
      </c>
      <c r="D132" s="16">
        <v>9.3892000000000003E-2</v>
      </c>
      <c r="E132" s="16">
        <v>9.6354999999999996E-2</v>
      </c>
      <c r="F132" s="16">
        <v>0.101545</v>
      </c>
      <c r="G132" s="16">
        <v>0.105744</v>
      </c>
      <c r="H132" s="16">
        <v>0.108306</v>
      </c>
      <c r="I132" s="16">
        <v>0.11092100000000001</v>
      </c>
      <c r="J132" s="16">
        <v>0.11429300000000001</v>
      </c>
      <c r="K132" s="16">
        <v>0.118229</v>
      </c>
      <c r="L132" s="16">
        <v>0.119244</v>
      </c>
      <c r="M132" s="16">
        <v>0.119298</v>
      </c>
      <c r="N132" s="16">
        <v>0.12008099999999999</v>
      </c>
      <c r="O132" s="16">
        <v>0.121471</v>
      </c>
      <c r="P132" s="16">
        <v>0.122457</v>
      </c>
      <c r="Q132" s="16">
        <v>0.123074</v>
      </c>
      <c r="R132" s="16">
        <v>0.123224</v>
      </c>
      <c r="S132" s="16">
        <v>0.122636</v>
      </c>
      <c r="T132" s="16">
        <v>0.122832</v>
      </c>
      <c r="U132" s="16">
        <v>0.121605</v>
      </c>
      <c r="V132" s="16">
        <v>0.120091</v>
      </c>
      <c r="W132" s="16">
        <v>0.11895</v>
      </c>
      <c r="X132" s="16">
        <v>0.11867</v>
      </c>
      <c r="Y132" s="16">
        <v>0.119292</v>
      </c>
      <c r="Z132" s="16">
        <v>0.11824</v>
      </c>
      <c r="AA132" s="16">
        <v>0.11643000000000001</v>
      </c>
      <c r="AB132" s="16">
        <v>0.115193</v>
      </c>
      <c r="AC132" s="16">
        <v>0.113318</v>
      </c>
      <c r="AD132" s="16">
        <v>0.111627</v>
      </c>
      <c r="AE132" s="16">
        <v>0.110024</v>
      </c>
      <c r="AF132" s="16">
        <v>0.10857799999999999</v>
      </c>
      <c r="AG132" s="16">
        <v>0.106989</v>
      </c>
      <c r="AH132" s="16">
        <v>0.10560899999999999</v>
      </c>
      <c r="AI132" s="16">
        <v>0.104392</v>
      </c>
      <c r="AJ132" s="16">
        <v>0.1031</v>
      </c>
      <c r="AK132" s="16">
        <v>0.101978</v>
      </c>
      <c r="AL132" s="13">
        <v>2.506E-3</v>
      </c>
    </row>
    <row r="133" spans="1:38" ht="15" customHeight="1" x14ac:dyDescent="0.25">
      <c r="A133" s="7" t="s">
        <v>158</v>
      </c>
      <c r="B133" s="11" t="s">
        <v>71</v>
      </c>
      <c r="C133" s="16">
        <v>8.9016999999999999E-2</v>
      </c>
      <c r="D133" s="16">
        <v>8.1244999999999998E-2</v>
      </c>
      <c r="E133" s="16">
        <v>8.0239000000000005E-2</v>
      </c>
      <c r="F133" s="16">
        <v>7.7994999999999995E-2</v>
      </c>
      <c r="G133" s="16">
        <v>6.9844000000000003E-2</v>
      </c>
      <c r="H133" s="16">
        <v>6.5109E-2</v>
      </c>
      <c r="I133" s="16">
        <v>6.3016000000000003E-2</v>
      </c>
      <c r="J133" s="16">
        <v>6.0894999999999998E-2</v>
      </c>
      <c r="K133" s="16">
        <v>6.0305999999999998E-2</v>
      </c>
      <c r="L133" s="16">
        <v>5.9663000000000001E-2</v>
      </c>
      <c r="M133" s="16">
        <v>5.7716000000000003E-2</v>
      </c>
      <c r="N133" s="16">
        <v>5.6376000000000002E-2</v>
      </c>
      <c r="O133" s="16">
        <v>5.4724000000000002E-2</v>
      </c>
      <c r="P133" s="16">
        <v>5.3430999999999999E-2</v>
      </c>
      <c r="Q133" s="16">
        <v>5.2039000000000002E-2</v>
      </c>
      <c r="R133" s="16">
        <v>5.1754000000000001E-2</v>
      </c>
      <c r="S133" s="16">
        <v>5.0472999999999997E-2</v>
      </c>
      <c r="T133" s="16">
        <v>4.9458000000000002E-2</v>
      </c>
      <c r="U133" s="16">
        <v>4.8401E-2</v>
      </c>
      <c r="V133" s="16">
        <v>4.7365999999999998E-2</v>
      </c>
      <c r="W133" s="16">
        <v>4.6622999999999998E-2</v>
      </c>
      <c r="X133" s="16">
        <v>4.5651999999999998E-2</v>
      </c>
      <c r="Y133" s="16">
        <v>4.5014999999999999E-2</v>
      </c>
      <c r="Z133" s="16">
        <v>4.4016E-2</v>
      </c>
      <c r="AA133" s="16">
        <v>4.3285999999999998E-2</v>
      </c>
      <c r="AB133" s="16">
        <v>4.2228000000000002E-2</v>
      </c>
      <c r="AC133" s="16">
        <v>4.1197999999999999E-2</v>
      </c>
      <c r="AD133" s="16">
        <v>4.0162999999999997E-2</v>
      </c>
      <c r="AE133" s="16">
        <v>3.9151999999999999E-2</v>
      </c>
      <c r="AF133" s="16">
        <v>3.8309000000000003E-2</v>
      </c>
      <c r="AG133" s="16">
        <v>3.7624999999999999E-2</v>
      </c>
      <c r="AH133" s="16">
        <v>3.7114000000000001E-2</v>
      </c>
      <c r="AI133" s="16">
        <v>3.6656000000000001E-2</v>
      </c>
      <c r="AJ133" s="16">
        <v>3.6381999999999998E-2</v>
      </c>
      <c r="AK133" s="16">
        <v>3.5931999999999999E-2</v>
      </c>
      <c r="AL133" s="13">
        <v>-2.4419E-2</v>
      </c>
    </row>
    <row r="134" spans="1:38" ht="15" customHeight="1" x14ac:dyDescent="0.25">
      <c r="A134" s="7" t="s">
        <v>159</v>
      </c>
      <c r="B134" s="11" t="s">
        <v>34</v>
      </c>
      <c r="C134" s="16">
        <v>0.116354</v>
      </c>
      <c r="D134" s="16">
        <v>0.113695</v>
      </c>
      <c r="E134" s="16">
        <v>0.117725</v>
      </c>
      <c r="F134" s="16">
        <v>0.114374</v>
      </c>
      <c r="G134" s="16">
        <v>0.10947800000000001</v>
      </c>
      <c r="H134" s="16">
        <v>0.10835699999999999</v>
      </c>
      <c r="I134" s="16">
        <v>0.10820299999999999</v>
      </c>
      <c r="J134" s="16">
        <v>0.108986</v>
      </c>
      <c r="K134" s="16">
        <v>0.109372</v>
      </c>
      <c r="L134" s="16">
        <v>0.109205</v>
      </c>
      <c r="M134" s="16">
        <v>0.10907500000000001</v>
      </c>
      <c r="N134" s="16">
        <v>0.109042</v>
      </c>
      <c r="O134" s="16">
        <v>0.10915900000000001</v>
      </c>
      <c r="P134" s="16">
        <v>0.10979800000000001</v>
      </c>
      <c r="Q134" s="16">
        <v>0.110941</v>
      </c>
      <c r="R134" s="16">
        <v>0.112109</v>
      </c>
      <c r="S134" s="16">
        <v>0.11278100000000001</v>
      </c>
      <c r="T134" s="16">
        <v>0.11368</v>
      </c>
      <c r="U134" s="16">
        <v>0.114562</v>
      </c>
      <c r="V134" s="16">
        <v>0.11521000000000001</v>
      </c>
      <c r="W134" s="16">
        <v>0.11577</v>
      </c>
      <c r="X134" s="16">
        <v>0.116455</v>
      </c>
      <c r="Y134" s="16">
        <v>0.11705500000000001</v>
      </c>
      <c r="Z134" s="16">
        <v>0.117739</v>
      </c>
      <c r="AA134" s="16">
        <v>0.11838700000000001</v>
      </c>
      <c r="AB134" s="16">
        <v>0.119038</v>
      </c>
      <c r="AC134" s="16">
        <v>0.11988600000000001</v>
      </c>
      <c r="AD134" s="16">
        <v>0.120685</v>
      </c>
      <c r="AE134" s="16">
        <v>0.12152300000000001</v>
      </c>
      <c r="AF134" s="16">
        <v>0.122442</v>
      </c>
      <c r="AG134" s="16">
        <v>0.12341199999999999</v>
      </c>
      <c r="AH134" s="16">
        <v>0.12434199999999999</v>
      </c>
      <c r="AI134" s="16">
        <v>0.12546499999999999</v>
      </c>
      <c r="AJ134" s="16">
        <v>0.12665499999999999</v>
      </c>
      <c r="AK134" s="16">
        <v>0.12773399999999999</v>
      </c>
      <c r="AL134" s="13">
        <v>3.5349999999999999E-3</v>
      </c>
    </row>
    <row r="135" spans="1:38" ht="15" customHeight="1" x14ac:dyDescent="0.25">
      <c r="A135" s="7" t="s">
        <v>160</v>
      </c>
      <c r="B135" s="11" t="s">
        <v>105</v>
      </c>
      <c r="C135" s="16">
        <v>0.2036</v>
      </c>
      <c r="D135" s="16">
        <v>0.20565600000000001</v>
      </c>
      <c r="E135" s="16">
        <v>0.22365699999999999</v>
      </c>
      <c r="F135" s="16">
        <v>0.22337199999999999</v>
      </c>
      <c r="G135" s="16">
        <v>0.22007599999999999</v>
      </c>
      <c r="H135" s="16">
        <v>0.21390899999999999</v>
      </c>
      <c r="I135" s="16">
        <v>0.21129200000000001</v>
      </c>
      <c r="J135" s="16">
        <v>0.206787</v>
      </c>
      <c r="K135" s="16">
        <v>0.20096600000000001</v>
      </c>
      <c r="L135" s="16">
        <v>0.196157</v>
      </c>
      <c r="M135" s="16">
        <v>0.19000300000000001</v>
      </c>
      <c r="N135" s="16">
        <v>0.188275</v>
      </c>
      <c r="O135" s="16">
        <v>0.185307</v>
      </c>
      <c r="P135" s="16">
        <v>0.181977</v>
      </c>
      <c r="Q135" s="16">
        <v>0.17818999999999999</v>
      </c>
      <c r="R135" s="16">
        <v>0.17791000000000001</v>
      </c>
      <c r="S135" s="16">
        <v>0.17452400000000001</v>
      </c>
      <c r="T135" s="16">
        <v>0.17219100000000001</v>
      </c>
      <c r="U135" s="16">
        <v>0.17030999999999999</v>
      </c>
      <c r="V135" s="16">
        <v>0.169242</v>
      </c>
      <c r="W135" s="16">
        <v>0.16611000000000001</v>
      </c>
      <c r="X135" s="16">
        <v>0.16372100000000001</v>
      </c>
      <c r="Y135" s="16">
        <v>0.16120399999999999</v>
      </c>
      <c r="Z135" s="16">
        <v>0.15907299999999999</v>
      </c>
      <c r="AA135" s="16">
        <v>0.15715100000000001</v>
      </c>
      <c r="AB135" s="16">
        <v>0.15403700000000001</v>
      </c>
      <c r="AC135" s="16">
        <v>0.15128</v>
      </c>
      <c r="AD135" s="16">
        <v>0.14893999999999999</v>
      </c>
      <c r="AE135" s="16">
        <v>0.14552300000000001</v>
      </c>
      <c r="AF135" s="16">
        <v>0.143065</v>
      </c>
      <c r="AG135" s="16">
        <v>0.14068700000000001</v>
      </c>
      <c r="AH135" s="16">
        <v>0.13888700000000001</v>
      </c>
      <c r="AI135" s="16">
        <v>0.137352</v>
      </c>
      <c r="AJ135" s="16">
        <v>0.13497799999999999</v>
      </c>
      <c r="AK135" s="16">
        <v>0.13308200000000001</v>
      </c>
      <c r="AL135" s="13">
        <v>-1.3102000000000001E-2</v>
      </c>
    </row>
    <row r="136" spans="1:38" ht="15" customHeight="1" x14ac:dyDescent="0.25">
      <c r="A136" s="7" t="s">
        <v>161</v>
      </c>
      <c r="B136" s="11" t="s">
        <v>74</v>
      </c>
      <c r="C136" s="16">
        <v>5.0790000000000002E-2</v>
      </c>
      <c r="D136" s="16">
        <v>4.9495999999999998E-2</v>
      </c>
      <c r="E136" s="16">
        <v>4.9914E-2</v>
      </c>
      <c r="F136" s="16">
        <v>4.9320999999999997E-2</v>
      </c>
      <c r="G136" s="16">
        <v>4.4414000000000002E-2</v>
      </c>
      <c r="H136" s="16">
        <v>4.1855999999999997E-2</v>
      </c>
      <c r="I136" s="16">
        <v>4.0364999999999998E-2</v>
      </c>
      <c r="J136" s="16">
        <v>4.0528000000000002E-2</v>
      </c>
      <c r="K136" s="16">
        <v>4.1577000000000003E-2</v>
      </c>
      <c r="L136" s="16">
        <v>4.2035000000000003E-2</v>
      </c>
      <c r="M136" s="16">
        <v>4.1570999999999997E-2</v>
      </c>
      <c r="N136" s="16">
        <v>4.1423000000000001E-2</v>
      </c>
      <c r="O136" s="16">
        <v>4.1043999999999997E-2</v>
      </c>
      <c r="P136" s="16">
        <v>4.0357999999999998E-2</v>
      </c>
      <c r="Q136" s="16">
        <v>3.9545999999999998E-2</v>
      </c>
      <c r="R136" s="16">
        <v>3.8610999999999999E-2</v>
      </c>
      <c r="S136" s="16">
        <v>3.7886999999999997E-2</v>
      </c>
      <c r="T136" s="16">
        <v>3.7082999999999998E-2</v>
      </c>
      <c r="U136" s="16">
        <v>3.6259E-2</v>
      </c>
      <c r="V136" s="16">
        <v>3.5406E-2</v>
      </c>
      <c r="W136" s="16">
        <v>3.5172000000000002E-2</v>
      </c>
      <c r="X136" s="16">
        <v>3.4308999999999999E-2</v>
      </c>
      <c r="Y136" s="16">
        <v>3.3957000000000001E-2</v>
      </c>
      <c r="Z136" s="16">
        <v>3.3356999999999998E-2</v>
      </c>
      <c r="AA136" s="16">
        <v>3.2724000000000003E-2</v>
      </c>
      <c r="AB136" s="16">
        <v>3.2188000000000001E-2</v>
      </c>
      <c r="AC136" s="16">
        <v>3.1778000000000001E-2</v>
      </c>
      <c r="AD136" s="16">
        <v>3.1306E-2</v>
      </c>
      <c r="AE136" s="16">
        <v>3.0925000000000001E-2</v>
      </c>
      <c r="AF136" s="16">
        <v>3.0537999999999999E-2</v>
      </c>
      <c r="AG136" s="16">
        <v>3.0262000000000001E-2</v>
      </c>
      <c r="AH136" s="16">
        <v>2.9914E-2</v>
      </c>
      <c r="AI136" s="16">
        <v>2.9582000000000001E-2</v>
      </c>
      <c r="AJ136" s="16">
        <v>2.9309999999999999E-2</v>
      </c>
      <c r="AK136" s="16">
        <v>2.8985E-2</v>
      </c>
      <c r="AL136" s="13">
        <v>-1.6084999999999999E-2</v>
      </c>
    </row>
    <row r="137" spans="1:38" ht="15" customHeight="1" x14ac:dyDescent="0.25">
      <c r="A137" s="7" t="s">
        <v>162</v>
      </c>
      <c r="B137" s="11" t="s">
        <v>76</v>
      </c>
      <c r="C137" s="16">
        <v>1.1112660000000001</v>
      </c>
      <c r="D137" s="16">
        <v>1.1000049999999999</v>
      </c>
      <c r="E137" s="16">
        <v>1.161581</v>
      </c>
      <c r="F137" s="16">
        <v>1.138282</v>
      </c>
      <c r="G137" s="16">
        <v>1.128212</v>
      </c>
      <c r="H137" s="16">
        <v>1.119488</v>
      </c>
      <c r="I137" s="16">
        <v>1.118374</v>
      </c>
      <c r="J137" s="16">
        <v>1.1199410000000001</v>
      </c>
      <c r="K137" s="16">
        <v>1.124568</v>
      </c>
      <c r="L137" s="16">
        <v>1.118123</v>
      </c>
      <c r="M137" s="16">
        <v>1.1049580000000001</v>
      </c>
      <c r="N137" s="16">
        <v>1.100115</v>
      </c>
      <c r="O137" s="16">
        <v>1.0954660000000001</v>
      </c>
      <c r="P137" s="16">
        <v>1.0893029999999999</v>
      </c>
      <c r="Q137" s="16">
        <v>1.0820689999999999</v>
      </c>
      <c r="R137" s="16">
        <v>1.0778700000000001</v>
      </c>
      <c r="S137" s="16">
        <v>1.067094</v>
      </c>
      <c r="T137" s="16">
        <v>1.0606139999999999</v>
      </c>
      <c r="U137" s="16">
        <v>1.0500389999999999</v>
      </c>
      <c r="V137" s="16">
        <v>1.039204</v>
      </c>
      <c r="W137" s="16">
        <v>1.0285679999999999</v>
      </c>
      <c r="X137" s="16">
        <v>1.02085</v>
      </c>
      <c r="Y137" s="16">
        <v>1.016408</v>
      </c>
      <c r="Z137" s="16">
        <v>1.0065029999999999</v>
      </c>
      <c r="AA137" s="16">
        <v>0.99523099999999998</v>
      </c>
      <c r="AB137" s="16">
        <v>0.98409899999999995</v>
      </c>
      <c r="AC137" s="16">
        <v>0.97194199999999997</v>
      </c>
      <c r="AD137" s="16">
        <v>0.96079899999999996</v>
      </c>
      <c r="AE137" s="16">
        <v>0.94915300000000002</v>
      </c>
      <c r="AF137" s="16">
        <v>0.93924600000000003</v>
      </c>
      <c r="AG137" s="16">
        <v>0.92943699999999996</v>
      </c>
      <c r="AH137" s="16">
        <v>0.92103400000000002</v>
      </c>
      <c r="AI137" s="16">
        <v>0.91357900000000003</v>
      </c>
      <c r="AJ137" s="16">
        <v>0.90555200000000002</v>
      </c>
      <c r="AK137" s="16">
        <v>0.89805900000000005</v>
      </c>
      <c r="AL137" s="13">
        <v>-6.1279999999999998E-3</v>
      </c>
    </row>
    <row r="138" spans="1:38" ht="15" customHeight="1" x14ac:dyDescent="0.25">
      <c r="A138" s="7" t="s">
        <v>163</v>
      </c>
      <c r="B138" s="11" t="s">
        <v>36</v>
      </c>
      <c r="C138" s="16">
        <v>0.97171300000000005</v>
      </c>
      <c r="D138" s="16">
        <v>0.92496199999999995</v>
      </c>
      <c r="E138" s="16">
        <v>0.928813</v>
      </c>
      <c r="F138" s="16">
        <v>0.91822599999999999</v>
      </c>
      <c r="G138" s="16">
        <v>0.93408199999999997</v>
      </c>
      <c r="H138" s="16">
        <v>0.93671599999999999</v>
      </c>
      <c r="I138" s="16">
        <v>0.93382900000000002</v>
      </c>
      <c r="J138" s="16">
        <v>0.92743399999999998</v>
      </c>
      <c r="K138" s="16">
        <v>0.91086400000000001</v>
      </c>
      <c r="L138" s="16">
        <v>0.89635299999999996</v>
      </c>
      <c r="M138" s="16">
        <v>0.88375999999999999</v>
      </c>
      <c r="N138" s="16">
        <v>0.87418200000000001</v>
      </c>
      <c r="O138" s="16">
        <v>0.86641400000000002</v>
      </c>
      <c r="P138" s="16">
        <v>0.858514</v>
      </c>
      <c r="Q138" s="16">
        <v>0.85070699999999999</v>
      </c>
      <c r="R138" s="16">
        <v>0.84091199999999999</v>
      </c>
      <c r="S138" s="16">
        <v>0.83404400000000001</v>
      </c>
      <c r="T138" s="16">
        <v>0.828152</v>
      </c>
      <c r="U138" s="16">
        <v>0.82137300000000002</v>
      </c>
      <c r="V138" s="16">
        <v>0.81446200000000002</v>
      </c>
      <c r="W138" s="16">
        <v>0.80610300000000001</v>
      </c>
      <c r="X138" s="16">
        <v>0.80191500000000004</v>
      </c>
      <c r="Y138" s="16">
        <v>0.796929</v>
      </c>
      <c r="Z138" s="16">
        <v>0.79093999999999998</v>
      </c>
      <c r="AA138" s="16">
        <v>0.78447</v>
      </c>
      <c r="AB138" s="16">
        <v>0.77832100000000004</v>
      </c>
      <c r="AC138" s="16">
        <v>0.77161599999999997</v>
      </c>
      <c r="AD138" s="16">
        <v>0.765069</v>
      </c>
      <c r="AE138" s="16">
        <v>0.75760799999999995</v>
      </c>
      <c r="AF138" s="16">
        <v>0.75121499999999997</v>
      </c>
      <c r="AG138" s="16">
        <v>0.74353199999999997</v>
      </c>
      <c r="AH138" s="16">
        <v>0.73607500000000003</v>
      </c>
      <c r="AI138" s="16">
        <v>0.73029200000000005</v>
      </c>
      <c r="AJ138" s="16">
        <v>0.72460599999999997</v>
      </c>
      <c r="AK138" s="16">
        <v>0.71908099999999997</v>
      </c>
      <c r="AL138" s="13">
        <v>-7.6010000000000001E-3</v>
      </c>
    </row>
    <row r="139" spans="1:38" ht="15" customHeight="1" x14ac:dyDescent="0.25">
      <c r="A139" s="7" t="s">
        <v>164</v>
      </c>
      <c r="B139" s="11" t="s">
        <v>165</v>
      </c>
      <c r="C139" s="16">
        <v>0.120111</v>
      </c>
      <c r="D139" s="16">
        <v>0.13850599999999999</v>
      </c>
      <c r="E139" s="16">
        <v>0.157916</v>
      </c>
      <c r="F139" s="16">
        <v>0.15717600000000001</v>
      </c>
      <c r="G139" s="16">
        <v>0.15411</v>
      </c>
      <c r="H139" s="16">
        <v>0.15274399999999999</v>
      </c>
      <c r="I139" s="16">
        <v>0.152887</v>
      </c>
      <c r="J139" s="16">
        <v>0.152813</v>
      </c>
      <c r="K139" s="16">
        <v>0.15015899999999999</v>
      </c>
      <c r="L139" s="16">
        <v>0.148479</v>
      </c>
      <c r="M139" s="16">
        <v>0.14655699999999999</v>
      </c>
      <c r="N139" s="16">
        <v>0.146232</v>
      </c>
      <c r="O139" s="16">
        <v>0.144815</v>
      </c>
      <c r="P139" s="16">
        <v>0.14268800000000001</v>
      </c>
      <c r="Q139" s="16">
        <v>0.14082700000000001</v>
      </c>
      <c r="R139" s="16">
        <v>0.139566</v>
      </c>
      <c r="S139" s="16">
        <v>0.139159</v>
      </c>
      <c r="T139" s="16">
        <v>0.13791100000000001</v>
      </c>
      <c r="U139" s="16">
        <v>0.136935</v>
      </c>
      <c r="V139" s="16">
        <v>0.136129</v>
      </c>
      <c r="W139" s="16">
        <v>0.13424900000000001</v>
      </c>
      <c r="X139" s="16">
        <v>0.13353400000000001</v>
      </c>
      <c r="Y139" s="16">
        <v>0.133379</v>
      </c>
      <c r="Z139" s="16">
        <v>0.132384</v>
      </c>
      <c r="AA139" s="16">
        <v>0.130824</v>
      </c>
      <c r="AB139" s="16">
        <v>0.12891900000000001</v>
      </c>
      <c r="AC139" s="16">
        <v>0.12731600000000001</v>
      </c>
      <c r="AD139" s="16">
        <v>0.12620300000000001</v>
      </c>
      <c r="AE139" s="16">
        <v>0.12501000000000001</v>
      </c>
      <c r="AF139" s="16">
        <v>0.12432</v>
      </c>
      <c r="AG139" s="16">
        <v>0.12316000000000001</v>
      </c>
      <c r="AH139" s="16">
        <v>0.121408</v>
      </c>
      <c r="AI139" s="16">
        <v>0.12013</v>
      </c>
      <c r="AJ139" s="16">
        <v>0.11902500000000001</v>
      </c>
      <c r="AK139" s="16">
        <v>0.117604</v>
      </c>
      <c r="AL139" s="13">
        <v>-4.9449999999999997E-3</v>
      </c>
    </row>
    <row r="140" spans="1:38" ht="15" customHeight="1" x14ac:dyDescent="0.25">
      <c r="A140" s="7" t="s">
        <v>166</v>
      </c>
      <c r="B140" s="11" t="s">
        <v>111</v>
      </c>
      <c r="C140" s="16">
        <v>0</v>
      </c>
      <c r="D140" s="16">
        <v>0</v>
      </c>
      <c r="E140" s="16">
        <v>0</v>
      </c>
      <c r="F140" s="16">
        <v>0</v>
      </c>
      <c r="G140" s="16">
        <v>0</v>
      </c>
      <c r="H140" s="16">
        <v>0</v>
      </c>
      <c r="I140" s="16">
        <v>0</v>
      </c>
      <c r="J140" s="16">
        <v>0</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c r="AA140" s="16">
        <v>0</v>
      </c>
      <c r="AB140" s="16">
        <v>0</v>
      </c>
      <c r="AC140" s="16">
        <v>0</v>
      </c>
      <c r="AD140" s="16">
        <v>0</v>
      </c>
      <c r="AE140" s="16">
        <v>0</v>
      </c>
      <c r="AF140" s="16">
        <v>0</v>
      </c>
      <c r="AG140" s="16">
        <v>0</v>
      </c>
      <c r="AH140" s="16">
        <v>0</v>
      </c>
      <c r="AI140" s="16">
        <v>0</v>
      </c>
      <c r="AJ140" s="16">
        <v>0</v>
      </c>
      <c r="AK140" s="16">
        <v>0</v>
      </c>
      <c r="AL140" s="13" t="s">
        <v>9</v>
      </c>
    </row>
    <row r="141" spans="1:38" ht="15" customHeight="1" x14ac:dyDescent="0.25">
      <c r="A141" s="7" t="s">
        <v>167</v>
      </c>
      <c r="B141" s="11" t="s">
        <v>80</v>
      </c>
      <c r="C141" s="16">
        <v>0.22478500000000001</v>
      </c>
      <c r="D141" s="16">
        <v>0.22051100000000001</v>
      </c>
      <c r="E141" s="16">
        <v>0.234677</v>
      </c>
      <c r="F141" s="16">
        <v>0.23849100000000001</v>
      </c>
      <c r="G141" s="16">
        <v>0.23968500000000001</v>
      </c>
      <c r="H141" s="16">
        <v>0.23988300000000001</v>
      </c>
      <c r="I141" s="16">
        <v>0.239006</v>
      </c>
      <c r="J141" s="16">
        <v>0.23746300000000001</v>
      </c>
      <c r="K141" s="16">
        <v>0.23594200000000001</v>
      </c>
      <c r="L141" s="16">
        <v>0.23431399999999999</v>
      </c>
      <c r="M141" s="16">
        <v>0.233597</v>
      </c>
      <c r="N141" s="16">
        <v>0.23152700000000001</v>
      </c>
      <c r="O141" s="16">
        <v>0.22992399999999999</v>
      </c>
      <c r="P141" s="16">
        <v>0.22694900000000001</v>
      </c>
      <c r="Q141" s="16">
        <v>0.22414899999999999</v>
      </c>
      <c r="R141" s="16">
        <v>0.22109899999999999</v>
      </c>
      <c r="S141" s="16">
        <v>0.218144</v>
      </c>
      <c r="T141" s="16">
        <v>0.215087</v>
      </c>
      <c r="U141" s="16">
        <v>0.21292900000000001</v>
      </c>
      <c r="V141" s="16">
        <v>0.20998700000000001</v>
      </c>
      <c r="W141" s="16">
        <v>0.20772399999999999</v>
      </c>
      <c r="X141" s="16">
        <v>0.20657300000000001</v>
      </c>
      <c r="Y141" s="16">
        <v>0.20357600000000001</v>
      </c>
      <c r="Z141" s="16">
        <v>0.201374</v>
      </c>
      <c r="AA141" s="16">
        <v>0.200213</v>
      </c>
      <c r="AB141" s="16">
        <v>0.197743</v>
      </c>
      <c r="AC141" s="16">
        <v>0.195631</v>
      </c>
      <c r="AD141" s="16">
        <v>0.19342400000000001</v>
      </c>
      <c r="AE141" s="16">
        <v>0.19096299999999999</v>
      </c>
      <c r="AF141" s="16">
        <v>0.188165</v>
      </c>
      <c r="AG141" s="16">
        <v>0.18607199999999999</v>
      </c>
      <c r="AH141" s="16">
        <v>0.184365</v>
      </c>
      <c r="AI141" s="16">
        <v>0.18274299999999999</v>
      </c>
      <c r="AJ141" s="16">
        <v>0.18085499999999999</v>
      </c>
      <c r="AK141" s="16">
        <v>0.17909800000000001</v>
      </c>
      <c r="AL141" s="13">
        <v>-6.2839999999999997E-3</v>
      </c>
    </row>
    <row r="142" spans="1:38" ht="15" customHeight="1" x14ac:dyDescent="0.25">
      <c r="A142" s="7" t="s">
        <v>168</v>
      </c>
      <c r="B142" s="11" t="s">
        <v>1965</v>
      </c>
      <c r="C142" s="16">
        <v>2.6389999999999999E-3</v>
      </c>
      <c r="D142" s="16">
        <v>9.1809999999999999E-3</v>
      </c>
      <c r="E142" s="16">
        <v>1.5129999999999999E-2</v>
      </c>
      <c r="F142" s="16">
        <v>2.5536E-2</v>
      </c>
      <c r="G142" s="16">
        <v>3.8871999999999997E-2</v>
      </c>
      <c r="H142" s="16">
        <v>3.9757000000000001E-2</v>
      </c>
      <c r="I142" s="16">
        <v>4.1588E-2</v>
      </c>
      <c r="J142" s="16">
        <v>4.5775000000000003E-2</v>
      </c>
      <c r="K142" s="16">
        <v>5.0633999999999998E-2</v>
      </c>
      <c r="L142" s="16">
        <v>5.4568999999999999E-2</v>
      </c>
      <c r="M142" s="16">
        <v>5.6764000000000002E-2</v>
      </c>
      <c r="N142" s="16">
        <v>5.8889999999999998E-2</v>
      </c>
      <c r="O142" s="16">
        <v>5.9371E-2</v>
      </c>
      <c r="P142" s="16">
        <v>5.9121E-2</v>
      </c>
      <c r="Q142" s="16">
        <v>5.8168999999999998E-2</v>
      </c>
      <c r="R142" s="16">
        <v>5.7189999999999998E-2</v>
      </c>
      <c r="S142" s="16">
        <v>5.6315999999999998E-2</v>
      </c>
      <c r="T142" s="16">
        <v>5.5506E-2</v>
      </c>
      <c r="U142" s="16">
        <v>5.4650999999999998E-2</v>
      </c>
      <c r="V142" s="16">
        <v>5.3770999999999999E-2</v>
      </c>
      <c r="W142" s="16">
        <v>5.2921000000000003E-2</v>
      </c>
      <c r="X142" s="16">
        <v>5.2113E-2</v>
      </c>
      <c r="Y142" s="16">
        <v>5.1272999999999999E-2</v>
      </c>
      <c r="Z142" s="16">
        <v>5.0488999999999999E-2</v>
      </c>
      <c r="AA142" s="16">
        <v>4.9678E-2</v>
      </c>
      <c r="AB142" s="16">
        <v>4.8882000000000002E-2</v>
      </c>
      <c r="AC142" s="16">
        <v>4.8173000000000001E-2</v>
      </c>
      <c r="AD142" s="16">
        <v>4.7442999999999999E-2</v>
      </c>
      <c r="AE142" s="16">
        <v>4.6730000000000001E-2</v>
      </c>
      <c r="AF142" s="16">
        <v>4.6052999999999997E-2</v>
      </c>
      <c r="AG142" s="16">
        <v>4.5407999999999997E-2</v>
      </c>
      <c r="AH142" s="16">
        <v>4.4750999999999999E-2</v>
      </c>
      <c r="AI142" s="16">
        <v>4.4153999999999999E-2</v>
      </c>
      <c r="AJ142" s="16">
        <v>4.3589000000000003E-2</v>
      </c>
      <c r="AK142" s="16">
        <v>4.2991000000000001E-2</v>
      </c>
      <c r="AL142" s="13">
        <v>4.7895E-2</v>
      </c>
    </row>
    <row r="143" spans="1:38" ht="15" customHeight="1" x14ac:dyDescent="0.25">
      <c r="A143" s="7" t="s">
        <v>169</v>
      </c>
      <c r="B143" s="11" t="s">
        <v>83</v>
      </c>
      <c r="C143" s="16">
        <v>1.319248</v>
      </c>
      <c r="D143" s="16">
        <v>1.2931589999999999</v>
      </c>
      <c r="E143" s="16">
        <v>1.3365359999999999</v>
      </c>
      <c r="F143" s="16">
        <v>1.3394280000000001</v>
      </c>
      <c r="G143" s="16">
        <v>1.366749</v>
      </c>
      <c r="H143" s="16">
        <v>1.3691009999999999</v>
      </c>
      <c r="I143" s="16">
        <v>1.36731</v>
      </c>
      <c r="J143" s="16">
        <v>1.3634839999999999</v>
      </c>
      <c r="K143" s="16">
        <v>1.347599</v>
      </c>
      <c r="L143" s="16">
        <v>1.3337159999999999</v>
      </c>
      <c r="M143" s="16">
        <v>1.320678</v>
      </c>
      <c r="N143" s="16">
        <v>1.3108310000000001</v>
      </c>
      <c r="O143" s="16">
        <v>1.300524</v>
      </c>
      <c r="P143" s="16">
        <v>1.287272</v>
      </c>
      <c r="Q143" s="16">
        <v>1.273852</v>
      </c>
      <c r="R143" s="16">
        <v>1.258767</v>
      </c>
      <c r="S143" s="16">
        <v>1.2476640000000001</v>
      </c>
      <c r="T143" s="16">
        <v>1.236656</v>
      </c>
      <c r="U143" s="16">
        <v>1.225889</v>
      </c>
      <c r="V143" s="16">
        <v>1.214348</v>
      </c>
      <c r="W143" s="16">
        <v>1.200998</v>
      </c>
      <c r="X143" s="16">
        <v>1.1941349999999999</v>
      </c>
      <c r="Y143" s="16">
        <v>1.185157</v>
      </c>
      <c r="Z143" s="16">
        <v>1.1751860000000001</v>
      </c>
      <c r="AA143" s="16">
        <v>1.1651860000000001</v>
      </c>
      <c r="AB143" s="16">
        <v>1.1538649999999999</v>
      </c>
      <c r="AC143" s="16">
        <v>1.142736</v>
      </c>
      <c r="AD143" s="16">
        <v>1.132139</v>
      </c>
      <c r="AE143" s="16">
        <v>1.120312</v>
      </c>
      <c r="AF143" s="16">
        <v>1.1097539999999999</v>
      </c>
      <c r="AG143" s="16">
        <v>1.0981719999999999</v>
      </c>
      <c r="AH143" s="16">
        <v>1.086598</v>
      </c>
      <c r="AI143" s="16">
        <v>1.0773189999999999</v>
      </c>
      <c r="AJ143" s="16">
        <v>1.068074</v>
      </c>
      <c r="AK143" s="16">
        <v>1.058773</v>
      </c>
      <c r="AL143" s="13">
        <v>-6.0419999999999996E-3</v>
      </c>
    </row>
    <row r="144" spans="1:38" ht="15" customHeight="1" x14ac:dyDescent="0.25">
      <c r="A144" s="7" t="s">
        <v>170</v>
      </c>
      <c r="B144" s="11" t="s">
        <v>85</v>
      </c>
      <c r="C144" s="16">
        <v>6.1504000000000003E-2</v>
      </c>
      <c r="D144" s="16">
        <v>6.6987000000000005E-2</v>
      </c>
      <c r="E144" s="16">
        <v>5.6285000000000002E-2</v>
      </c>
      <c r="F144" s="16">
        <v>5.4095999999999998E-2</v>
      </c>
      <c r="G144" s="16">
        <v>5.7404999999999998E-2</v>
      </c>
      <c r="H144" s="16">
        <v>5.4355000000000001E-2</v>
      </c>
      <c r="I144" s="16">
        <v>4.8710999999999997E-2</v>
      </c>
      <c r="J144" s="16">
        <v>4.7109999999999999E-2</v>
      </c>
      <c r="K144" s="16">
        <v>4.7581999999999999E-2</v>
      </c>
      <c r="L144" s="16">
        <v>4.7737000000000002E-2</v>
      </c>
      <c r="M144" s="16">
        <v>4.7327000000000001E-2</v>
      </c>
      <c r="N144" s="16">
        <v>4.7316999999999998E-2</v>
      </c>
      <c r="O144" s="16">
        <v>4.7164999999999999E-2</v>
      </c>
      <c r="P144" s="16">
        <v>4.5948000000000003E-2</v>
      </c>
      <c r="Q144" s="16">
        <v>4.6806E-2</v>
      </c>
      <c r="R144" s="16">
        <v>4.7170999999999998E-2</v>
      </c>
      <c r="S144" s="16">
        <v>4.6990999999999998E-2</v>
      </c>
      <c r="T144" s="16">
        <v>4.7442999999999999E-2</v>
      </c>
      <c r="U144" s="16">
        <v>4.7482999999999997E-2</v>
      </c>
      <c r="V144" s="16">
        <v>4.7625000000000001E-2</v>
      </c>
      <c r="W144" s="16">
        <v>4.7004999999999998E-2</v>
      </c>
      <c r="X144" s="16">
        <v>4.7234999999999999E-2</v>
      </c>
      <c r="Y144" s="16">
        <v>4.6264E-2</v>
      </c>
      <c r="Z144" s="16">
        <v>4.5591E-2</v>
      </c>
      <c r="AA144" s="16">
        <v>4.4946E-2</v>
      </c>
      <c r="AB144" s="16">
        <v>4.4504000000000002E-2</v>
      </c>
      <c r="AC144" s="16">
        <v>4.3825999999999997E-2</v>
      </c>
      <c r="AD144" s="16">
        <v>4.3326000000000003E-2</v>
      </c>
      <c r="AE144" s="16">
        <v>4.2284000000000002E-2</v>
      </c>
      <c r="AF144" s="16">
        <v>4.1420999999999999E-2</v>
      </c>
      <c r="AG144" s="16">
        <v>4.0617E-2</v>
      </c>
      <c r="AH144" s="16">
        <v>4.0169999999999997E-2</v>
      </c>
      <c r="AI144" s="16">
        <v>4.0052999999999998E-2</v>
      </c>
      <c r="AJ144" s="16">
        <v>3.9448999999999998E-2</v>
      </c>
      <c r="AK144" s="16">
        <v>3.8434999999999997E-2</v>
      </c>
      <c r="AL144" s="13">
        <v>-1.6693E-2</v>
      </c>
    </row>
    <row r="145" spans="1:38" ht="15" customHeight="1" x14ac:dyDescent="0.25">
      <c r="A145" s="7" t="s">
        <v>171</v>
      </c>
      <c r="B145" s="11" t="s">
        <v>42</v>
      </c>
      <c r="C145" s="16">
        <v>9.4255000000000005E-2</v>
      </c>
      <c r="D145" s="16">
        <v>8.5501999999999995E-2</v>
      </c>
      <c r="E145" s="16">
        <v>8.7580000000000005E-2</v>
      </c>
      <c r="F145" s="16">
        <v>8.8707999999999995E-2</v>
      </c>
      <c r="G145" s="16">
        <v>8.9744000000000004E-2</v>
      </c>
      <c r="H145" s="16">
        <v>8.9247000000000007E-2</v>
      </c>
      <c r="I145" s="16">
        <v>8.8720999999999994E-2</v>
      </c>
      <c r="J145" s="16">
        <v>8.8022000000000003E-2</v>
      </c>
      <c r="K145" s="16">
        <v>8.7568999999999994E-2</v>
      </c>
      <c r="L145" s="16">
        <v>8.6065000000000003E-2</v>
      </c>
      <c r="M145" s="16">
        <v>8.4412000000000001E-2</v>
      </c>
      <c r="N145" s="16">
        <v>8.2702999999999999E-2</v>
      </c>
      <c r="O145" s="16">
        <v>8.0833000000000002E-2</v>
      </c>
      <c r="P145" s="16">
        <v>7.8419000000000003E-2</v>
      </c>
      <c r="Q145" s="16">
        <v>7.6529E-2</v>
      </c>
      <c r="R145" s="16">
        <v>7.4723999999999999E-2</v>
      </c>
      <c r="S145" s="16">
        <v>7.2783E-2</v>
      </c>
      <c r="T145" s="16">
        <v>7.1115999999999999E-2</v>
      </c>
      <c r="U145" s="16">
        <v>6.9473999999999994E-2</v>
      </c>
      <c r="V145" s="16">
        <v>6.7697999999999994E-2</v>
      </c>
      <c r="W145" s="16">
        <v>6.6612000000000005E-2</v>
      </c>
      <c r="X145" s="16">
        <v>6.5590999999999997E-2</v>
      </c>
      <c r="Y145" s="16">
        <v>6.4458000000000001E-2</v>
      </c>
      <c r="Z145" s="16">
        <v>6.3328999999999996E-2</v>
      </c>
      <c r="AA145" s="16">
        <v>6.2293000000000001E-2</v>
      </c>
      <c r="AB145" s="16">
        <v>6.1358000000000003E-2</v>
      </c>
      <c r="AC145" s="16">
        <v>6.0414000000000002E-2</v>
      </c>
      <c r="AD145" s="16">
        <v>5.9471000000000003E-2</v>
      </c>
      <c r="AE145" s="16">
        <v>5.8554000000000002E-2</v>
      </c>
      <c r="AF145" s="16">
        <v>5.7724999999999999E-2</v>
      </c>
      <c r="AG145" s="16">
        <v>5.6953999999999998E-2</v>
      </c>
      <c r="AH145" s="16">
        <v>5.6182000000000003E-2</v>
      </c>
      <c r="AI145" s="16">
        <v>5.5493000000000001E-2</v>
      </c>
      <c r="AJ145" s="16">
        <v>5.4752000000000002E-2</v>
      </c>
      <c r="AK145" s="16">
        <v>5.3934000000000003E-2</v>
      </c>
      <c r="AL145" s="13">
        <v>-1.3866E-2</v>
      </c>
    </row>
    <row r="146" spans="1:38" ht="15" customHeight="1" x14ac:dyDescent="0.25">
      <c r="A146" s="7" t="s">
        <v>172</v>
      </c>
      <c r="B146" s="11" t="s">
        <v>115</v>
      </c>
      <c r="C146" s="16">
        <v>0</v>
      </c>
      <c r="D146" s="16">
        <v>0</v>
      </c>
      <c r="E146" s="16">
        <v>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3" t="s">
        <v>9</v>
      </c>
    </row>
    <row r="147" spans="1:38" ht="15" customHeight="1" x14ac:dyDescent="0.25">
      <c r="A147" s="7" t="s">
        <v>173</v>
      </c>
      <c r="B147" s="11" t="s">
        <v>88</v>
      </c>
      <c r="C147" s="16">
        <v>0.15575900000000001</v>
      </c>
      <c r="D147" s="16">
        <v>0.15248800000000001</v>
      </c>
      <c r="E147" s="16">
        <v>0.14386499999999999</v>
      </c>
      <c r="F147" s="16">
        <v>0.14280399999999999</v>
      </c>
      <c r="G147" s="16">
        <v>0.147149</v>
      </c>
      <c r="H147" s="16">
        <v>0.14360200000000001</v>
      </c>
      <c r="I147" s="16">
        <v>0.137433</v>
      </c>
      <c r="J147" s="16">
        <v>0.135133</v>
      </c>
      <c r="K147" s="16">
        <v>0.13515099999999999</v>
      </c>
      <c r="L147" s="16">
        <v>0.133801</v>
      </c>
      <c r="M147" s="16">
        <v>0.13173799999999999</v>
      </c>
      <c r="N147" s="16">
        <v>0.130019</v>
      </c>
      <c r="O147" s="16">
        <v>0.127998</v>
      </c>
      <c r="P147" s="16">
        <v>0.12436700000000001</v>
      </c>
      <c r="Q147" s="16">
        <v>0.123334</v>
      </c>
      <c r="R147" s="16">
        <v>0.121895</v>
      </c>
      <c r="S147" s="16">
        <v>0.11977400000000001</v>
      </c>
      <c r="T147" s="16">
        <v>0.118559</v>
      </c>
      <c r="U147" s="16">
        <v>0.11695700000000001</v>
      </c>
      <c r="V147" s="16">
        <v>0.115324</v>
      </c>
      <c r="W147" s="16">
        <v>0.113617</v>
      </c>
      <c r="X147" s="16">
        <v>0.112826</v>
      </c>
      <c r="Y147" s="16">
        <v>0.110721</v>
      </c>
      <c r="Z147" s="16">
        <v>0.10892</v>
      </c>
      <c r="AA147" s="16">
        <v>0.107239</v>
      </c>
      <c r="AB147" s="16">
        <v>0.105862</v>
      </c>
      <c r="AC147" s="16">
        <v>0.104239</v>
      </c>
      <c r="AD147" s="16">
        <v>0.102797</v>
      </c>
      <c r="AE147" s="16">
        <v>0.100837</v>
      </c>
      <c r="AF147" s="16">
        <v>9.9145999999999998E-2</v>
      </c>
      <c r="AG147" s="16">
        <v>9.7572000000000006E-2</v>
      </c>
      <c r="AH147" s="16">
        <v>9.6352999999999994E-2</v>
      </c>
      <c r="AI147" s="16">
        <v>9.5546000000000006E-2</v>
      </c>
      <c r="AJ147" s="16">
        <v>9.4200999999999993E-2</v>
      </c>
      <c r="AK147" s="16">
        <v>9.2369000000000007E-2</v>
      </c>
      <c r="AL147" s="13">
        <v>-1.5076000000000001E-2</v>
      </c>
    </row>
    <row r="148" spans="1:38" ht="15" customHeight="1" x14ac:dyDescent="0.25">
      <c r="A148" s="7" t="s">
        <v>174</v>
      </c>
      <c r="B148" s="11" t="s">
        <v>118</v>
      </c>
      <c r="C148" s="16">
        <v>0.113097</v>
      </c>
      <c r="D148" s="16">
        <v>0.10784000000000001</v>
      </c>
      <c r="E148" s="16">
        <v>0.106478</v>
      </c>
      <c r="F148" s="16">
        <v>0.107665</v>
      </c>
      <c r="G148" s="16">
        <v>0.10524</v>
      </c>
      <c r="H148" s="16">
        <v>0.10359699999999999</v>
      </c>
      <c r="I148" s="16">
        <v>0.10209</v>
      </c>
      <c r="J148" s="16">
        <v>0.10055699999999999</v>
      </c>
      <c r="K148" s="16">
        <v>9.8230999999999999E-2</v>
      </c>
      <c r="L148" s="16">
        <v>9.7753999999999994E-2</v>
      </c>
      <c r="M148" s="16">
        <v>9.5508999999999997E-2</v>
      </c>
      <c r="N148" s="16">
        <v>9.4122999999999998E-2</v>
      </c>
      <c r="O148" s="16">
        <v>9.3182000000000001E-2</v>
      </c>
      <c r="P148" s="16">
        <v>9.1768000000000002E-2</v>
      </c>
      <c r="Q148" s="16">
        <v>9.0484999999999996E-2</v>
      </c>
      <c r="R148" s="16">
        <v>8.856E-2</v>
      </c>
      <c r="S148" s="16">
        <v>8.7453000000000003E-2</v>
      </c>
      <c r="T148" s="16">
        <v>8.5942000000000005E-2</v>
      </c>
      <c r="U148" s="16">
        <v>8.4804000000000004E-2</v>
      </c>
      <c r="V148" s="16">
        <v>8.3586999999999995E-2</v>
      </c>
      <c r="W148" s="16">
        <v>8.2266000000000006E-2</v>
      </c>
      <c r="X148" s="16">
        <v>8.1008999999999998E-2</v>
      </c>
      <c r="Y148" s="16">
        <v>7.9702999999999996E-2</v>
      </c>
      <c r="Z148" s="16">
        <v>7.8483999999999998E-2</v>
      </c>
      <c r="AA148" s="16">
        <v>7.6727000000000004E-2</v>
      </c>
      <c r="AB148" s="16">
        <v>7.5613E-2</v>
      </c>
      <c r="AC148" s="16">
        <v>7.4396000000000004E-2</v>
      </c>
      <c r="AD148" s="16">
        <v>7.2316000000000005E-2</v>
      </c>
      <c r="AE148" s="16">
        <v>7.1188000000000001E-2</v>
      </c>
      <c r="AF148" s="16">
        <v>6.9930999999999993E-2</v>
      </c>
      <c r="AG148" s="16">
        <v>6.8377999999999994E-2</v>
      </c>
      <c r="AH148" s="16">
        <v>6.7093E-2</v>
      </c>
      <c r="AI148" s="16">
        <v>6.6087000000000007E-2</v>
      </c>
      <c r="AJ148" s="16">
        <v>6.5114000000000005E-2</v>
      </c>
      <c r="AK148" s="16">
        <v>6.3920000000000005E-2</v>
      </c>
      <c r="AL148" s="13">
        <v>-1.5723999999999998E-2</v>
      </c>
    </row>
    <row r="149" spans="1:38" ht="15" customHeight="1" x14ac:dyDescent="0.25">
      <c r="A149" s="7" t="s">
        <v>175</v>
      </c>
      <c r="B149" s="11" t="s">
        <v>90</v>
      </c>
      <c r="C149" s="16">
        <v>0.200318</v>
      </c>
      <c r="D149" s="16">
        <v>0.19264700000000001</v>
      </c>
      <c r="E149" s="16">
        <v>0.18604200000000001</v>
      </c>
      <c r="F149" s="16">
        <v>0.18826399999999999</v>
      </c>
      <c r="G149" s="16">
        <v>0.19237000000000001</v>
      </c>
      <c r="H149" s="16">
        <v>0.19456200000000001</v>
      </c>
      <c r="I149" s="16">
        <v>0.19698599999999999</v>
      </c>
      <c r="J149" s="16">
        <v>0.1988</v>
      </c>
      <c r="K149" s="16">
        <v>0.20058500000000001</v>
      </c>
      <c r="L149" s="16">
        <v>0.20055100000000001</v>
      </c>
      <c r="M149" s="16">
        <v>0.201097</v>
      </c>
      <c r="N149" s="16">
        <v>0.20244000000000001</v>
      </c>
      <c r="O149" s="16">
        <v>0.203955</v>
      </c>
      <c r="P149" s="16">
        <v>0.20471500000000001</v>
      </c>
      <c r="Q149" s="16">
        <v>0.20668400000000001</v>
      </c>
      <c r="R149" s="16">
        <v>0.208339</v>
      </c>
      <c r="S149" s="16">
        <v>0.20955399999999999</v>
      </c>
      <c r="T149" s="16">
        <v>0.21005599999999999</v>
      </c>
      <c r="U149" s="16">
        <v>0.210478</v>
      </c>
      <c r="V149" s="16">
        <v>0.20977999999999999</v>
      </c>
      <c r="W149" s="16">
        <v>0.20996999999999999</v>
      </c>
      <c r="X149" s="16">
        <v>0.20963100000000001</v>
      </c>
      <c r="Y149" s="16">
        <v>0.20932799999999999</v>
      </c>
      <c r="Z149" s="16">
        <v>0.209258</v>
      </c>
      <c r="AA149" s="16">
        <v>0.209337</v>
      </c>
      <c r="AB149" s="16">
        <v>0.20979900000000001</v>
      </c>
      <c r="AC149" s="16">
        <v>0.21024399999999999</v>
      </c>
      <c r="AD149" s="16">
        <v>0.21019599999999999</v>
      </c>
      <c r="AE149" s="16">
        <v>0.21018300000000001</v>
      </c>
      <c r="AF149" s="16">
        <v>0.20996200000000001</v>
      </c>
      <c r="AG149" s="16">
        <v>0.209729</v>
      </c>
      <c r="AH149" s="16">
        <v>0.20954999999999999</v>
      </c>
      <c r="AI149" s="16">
        <v>0.20913399999999999</v>
      </c>
      <c r="AJ149" s="16">
        <v>0.20851700000000001</v>
      </c>
      <c r="AK149" s="16">
        <v>0.207955</v>
      </c>
      <c r="AL149" s="13">
        <v>2.32E-3</v>
      </c>
    </row>
    <row r="150" spans="1:38" ht="15" customHeight="1" x14ac:dyDescent="0.25">
      <c r="A150" s="7" t="s">
        <v>176</v>
      </c>
      <c r="B150" s="11" t="s">
        <v>92</v>
      </c>
      <c r="C150" s="16">
        <v>0.43554300000000001</v>
      </c>
      <c r="D150" s="16">
        <v>0.42594700000000002</v>
      </c>
      <c r="E150" s="16">
        <v>0.429697</v>
      </c>
      <c r="F150" s="16">
        <v>0.43029400000000001</v>
      </c>
      <c r="G150" s="16">
        <v>0.43195600000000001</v>
      </c>
      <c r="H150" s="16">
        <v>0.43089899999999998</v>
      </c>
      <c r="I150" s="16">
        <v>0.43057000000000001</v>
      </c>
      <c r="J150" s="16">
        <v>0.43037799999999998</v>
      </c>
      <c r="K150" s="16">
        <v>0.43020000000000003</v>
      </c>
      <c r="L150" s="16">
        <v>0.42693500000000001</v>
      </c>
      <c r="M150" s="16">
        <v>0.42326599999999998</v>
      </c>
      <c r="N150" s="16">
        <v>0.42063200000000001</v>
      </c>
      <c r="O150" s="16">
        <v>0.41732999999999998</v>
      </c>
      <c r="P150" s="16">
        <v>0.41281099999999998</v>
      </c>
      <c r="Q150" s="16">
        <v>0.407746</v>
      </c>
      <c r="R150" s="16">
        <v>0.402837</v>
      </c>
      <c r="S150" s="16">
        <v>0.39785599999999999</v>
      </c>
      <c r="T150" s="16">
        <v>0.39374799999999999</v>
      </c>
      <c r="U150" s="16">
        <v>0.38949</v>
      </c>
      <c r="V150" s="16">
        <v>0.38542999999999999</v>
      </c>
      <c r="W150" s="16">
        <v>0.38145699999999999</v>
      </c>
      <c r="X150" s="16">
        <v>0.37798500000000002</v>
      </c>
      <c r="Y150" s="16">
        <v>0.37465900000000002</v>
      </c>
      <c r="Z150" s="16">
        <v>0.37098199999999998</v>
      </c>
      <c r="AA150" s="16">
        <v>0.367091</v>
      </c>
      <c r="AB150" s="16">
        <v>0.363373</v>
      </c>
      <c r="AC150" s="16">
        <v>0.35974499999999998</v>
      </c>
      <c r="AD150" s="16">
        <v>0.35577399999999998</v>
      </c>
      <c r="AE150" s="16">
        <v>0.351659</v>
      </c>
      <c r="AF150" s="16">
        <v>0.34778599999999998</v>
      </c>
      <c r="AG150" s="16">
        <v>0.34443400000000002</v>
      </c>
      <c r="AH150" s="16">
        <v>0.3407</v>
      </c>
      <c r="AI150" s="16">
        <v>0.33701900000000001</v>
      </c>
      <c r="AJ150" s="16">
        <v>0.33337299999999997</v>
      </c>
      <c r="AK150" s="16">
        <v>0.32979199999999997</v>
      </c>
      <c r="AL150" s="13">
        <v>-7.7229999999999998E-3</v>
      </c>
    </row>
    <row r="151" spans="1:38" ht="15" customHeight="1" x14ac:dyDescent="0.25">
      <c r="A151" s="7" t="s">
        <v>177</v>
      </c>
      <c r="B151" s="10" t="s">
        <v>94</v>
      </c>
      <c r="C151" s="17">
        <v>3.3352300000000001</v>
      </c>
      <c r="D151" s="17">
        <v>3.272087</v>
      </c>
      <c r="E151" s="17">
        <v>3.3641990000000002</v>
      </c>
      <c r="F151" s="17">
        <v>3.3467359999999999</v>
      </c>
      <c r="G151" s="17">
        <v>3.3716759999999999</v>
      </c>
      <c r="H151" s="17">
        <v>3.3612479999999998</v>
      </c>
      <c r="I151" s="17">
        <v>3.3527619999999998</v>
      </c>
      <c r="J151" s="17">
        <v>3.3482919999999998</v>
      </c>
      <c r="K151" s="17">
        <v>3.3363350000000001</v>
      </c>
      <c r="L151" s="17">
        <v>3.3108789999999999</v>
      </c>
      <c r="M151" s="17">
        <v>3.277247</v>
      </c>
      <c r="N151" s="17">
        <v>3.2581600000000002</v>
      </c>
      <c r="O151" s="17">
        <v>3.2384539999999999</v>
      </c>
      <c r="P151" s="17">
        <v>3.2102360000000001</v>
      </c>
      <c r="Q151" s="17">
        <v>3.1841699999999999</v>
      </c>
      <c r="R151" s="17">
        <v>3.1582680000000001</v>
      </c>
      <c r="S151" s="17">
        <v>3.1293950000000001</v>
      </c>
      <c r="T151" s="17">
        <v>3.1055760000000001</v>
      </c>
      <c r="U151" s="17">
        <v>3.077658</v>
      </c>
      <c r="V151" s="17">
        <v>3.0476730000000001</v>
      </c>
      <c r="W151" s="17">
        <v>3.0168750000000002</v>
      </c>
      <c r="X151" s="17">
        <v>2.9964360000000001</v>
      </c>
      <c r="Y151" s="17">
        <v>2.9759769999999999</v>
      </c>
      <c r="Z151" s="17">
        <v>2.9493330000000002</v>
      </c>
      <c r="AA151" s="17">
        <v>2.9208099999999999</v>
      </c>
      <c r="AB151" s="17">
        <v>2.8926099999999999</v>
      </c>
      <c r="AC151" s="17">
        <v>2.8633030000000002</v>
      </c>
      <c r="AD151" s="17">
        <v>2.8340209999999999</v>
      </c>
      <c r="AE151" s="17">
        <v>2.8033320000000002</v>
      </c>
      <c r="AF151" s="17">
        <v>2.7758250000000002</v>
      </c>
      <c r="AG151" s="17">
        <v>2.7477230000000001</v>
      </c>
      <c r="AH151" s="17">
        <v>2.7213280000000002</v>
      </c>
      <c r="AI151" s="17">
        <v>2.6986849999999998</v>
      </c>
      <c r="AJ151" s="17">
        <v>2.67483</v>
      </c>
      <c r="AK151" s="17">
        <v>2.6508669999999999</v>
      </c>
      <c r="AL151" s="15">
        <v>-6.3600000000000002E-3</v>
      </c>
    </row>
    <row r="152" spans="1:38" ht="15" customHeight="1" x14ac:dyDescent="0.25">
      <c r="A152" s="7" t="s">
        <v>178</v>
      </c>
      <c r="B152" s="11" t="s">
        <v>96</v>
      </c>
      <c r="C152" s="16">
        <v>0.86906799999999995</v>
      </c>
      <c r="D152" s="16">
        <v>0.83761099999999999</v>
      </c>
      <c r="E152" s="16">
        <v>0.83979400000000004</v>
      </c>
      <c r="F152" s="16">
        <v>0.83431900000000003</v>
      </c>
      <c r="G152" s="16">
        <v>0.83487500000000003</v>
      </c>
      <c r="H152" s="16">
        <v>0.82597399999999999</v>
      </c>
      <c r="I152" s="16">
        <v>0.818693</v>
      </c>
      <c r="J152" s="16">
        <v>0.81144700000000003</v>
      </c>
      <c r="K152" s="16">
        <v>0.81070200000000003</v>
      </c>
      <c r="L152" s="16">
        <v>0.80259400000000003</v>
      </c>
      <c r="M152" s="16">
        <v>0.79414799999999997</v>
      </c>
      <c r="N152" s="16">
        <v>0.78686199999999995</v>
      </c>
      <c r="O152" s="16">
        <v>0.77799499999999999</v>
      </c>
      <c r="P152" s="16">
        <v>0.76799899999999999</v>
      </c>
      <c r="Q152" s="16">
        <v>0.75621400000000005</v>
      </c>
      <c r="R152" s="16">
        <v>0.74359699999999995</v>
      </c>
      <c r="S152" s="16">
        <v>0.73236100000000004</v>
      </c>
      <c r="T152" s="16">
        <v>0.72356100000000001</v>
      </c>
      <c r="U152" s="16">
        <v>0.71369199999999999</v>
      </c>
      <c r="V152" s="16">
        <v>0.70535800000000004</v>
      </c>
      <c r="W152" s="16">
        <v>0.69620199999999999</v>
      </c>
      <c r="X152" s="16">
        <v>0.68819699999999995</v>
      </c>
      <c r="Y152" s="16">
        <v>0.68031200000000003</v>
      </c>
      <c r="Z152" s="16">
        <v>0.67218999999999995</v>
      </c>
      <c r="AA152" s="16">
        <v>0.66376000000000002</v>
      </c>
      <c r="AB152" s="16">
        <v>0.654721</v>
      </c>
      <c r="AC152" s="16">
        <v>0.64540399999999998</v>
      </c>
      <c r="AD152" s="16">
        <v>0.63604000000000005</v>
      </c>
      <c r="AE152" s="16">
        <v>0.62648800000000004</v>
      </c>
      <c r="AF152" s="16">
        <v>0.61673900000000004</v>
      </c>
      <c r="AG152" s="16">
        <v>0.60823400000000005</v>
      </c>
      <c r="AH152" s="16">
        <v>0.59941699999999998</v>
      </c>
      <c r="AI152" s="16">
        <v>0.59097299999999997</v>
      </c>
      <c r="AJ152" s="16">
        <v>0.58285299999999995</v>
      </c>
      <c r="AK152" s="16">
        <v>0.57301000000000002</v>
      </c>
      <c r="AL152" s="13">
        <v>-1.1439E-2</v>
      </c>
    </row>
    <row r="153" spans="1:38" ht="15" customHeight="1" x14ac:dyDescent="0.25">
      <c r="A153" s="7" t="s">
        <v>179</v>
      </c>
      <c r="B153" s="10" t="s">
        <v>24</v>
      </c>
      <c r="C153" s="17">
        <v>4.2042979999999996</v>
      </c>
      <c r="D153" s="17">
        <v>4.1096969999999997</v>
      </c>
      <c r="E153" s="17">
        <v>4.2039929999999996</v>
      </c>
      <c r="F153" s="17">
        <v>4.1810559999999999</v>
      </c>
      <c r="G153" s="17">
        <v>4.2065520000000003</v>
      </c>
      <c r="H153" s="17">
        <v>4.1872230000000004</v>
      </c>
      <c r="I153" s="17">
        <v>4.1714549999999999</v>
      </c>
      <c r="J153" s="17">
        <v>4.1597390000000001</v>
      </c>
      <c r="K153" s="17">
        <v>4.1470370000000001</v>
      </c>
      <c r="L153" s="17">
        <v>4.1134729999999999</v>
      </c>
      <c r="M153" s="17">
        <v>4.0713949999999999</v>
      </c>
      <c r="N153" s="17">
        <v>4.0450220000000003</v>
      </c>
      <c r="O153" s="17">
        <v>4.0164489999999997</v>
      </c>
      <c r="P153" s="17">
        <v>3.9782350000000002</v>
      </c>
      <c r="Q153" s="17">
        <v>3.9403839999999999</v>
      </c>
      <c r="R153" s="17">
        <v>3.9018649999999999</v>
      </c>
      <c r="S153" s="17">
        <v>3.8617560000000002</v>
      </c>
      <c r="T153" s="17">
        <v>3.8291369999999998</v>
      </c>
      <c r="U153" s="17">
        <v>3.7913510000000001</v>
      </c>
      <c r="V153" s="17">
        <v>3.753031</v>
      </c>
      <c r="W153" s="17">
        <v>3.7130770000000002</v>
      </c>
      <c r="X153" s="17">
        <v>3.6846329999999998</v>
      </c>
      <c r="Y153" s="17">
        <v>3.6562899999999998</v>
      </c>
      <c r="Z153" s="17">
        <v>3.6215220000000001</v>
      </c>
      <c r="AA153" s="17">
        <v>3.5845699999999998</v>
      </c>
      <c r="AB153" s="17">
        <v>3.5473319999999999</v>
      </c>
      <c r="AC153" s="17">
        <v>3.5087069999999998</v>
      </c>
      <c r="AD153" s="17">
        <v>3.4700609999999998</v>
      </c>
      <c r="AE153" s="17">
        <v>3.4298199999999999</v>
      </c>
      <c r="AF153" s="17">
        <v>3.3925640000000001</v>
      </c>
      <c r="AG153" s="17">
        <v>3.3559570000000001</v>
      </c>
      <c r="AH153" s="17">
        <v>3.3207450000000001</v>
      </c>
      <c r="AI153" s="17">
        <v>3.2896580000000002</v>
      </c>
      <c r="AJ153" s="17">
        <v>3.2576830000000001</v>
      </c>
      <c r="AK153" s="17">
        <v>3.223878</v>
      </c>
      <c r="AL153" s="15">
        <v>-7.3299999999999997E-3</v>
      </c>
    </row>
    <row r="155" spans="1:38" ht="15" customHeight="1" x14ac:dyDescent="0.25">
      <c r="B155" s="10" t="s">
        <v>180</v>
      </c>
    </row>
    <row r="156" spans="1:38" ht="15" customHeight="1" x14ac:dyDescent="0.25">
      <c r="A156" s="7" t="s">
        <v>181</v>
      </c>
      <c r="B156" s="11" t="s">
        <v>182</v>
      </c>
      <c r="C156" s="16">
        <v>25.240635000000001</v>
      </c>
      <c r="D156" s="16">
        <v>26.142686999999999</v>
      </c>
      <c r="E156" s="16">
        <v>26.287158999999999</v>
      </c>
      <c r="F156" s="16">
        <v>26.936481000000001</v>
      </c>
      <c r="G156" s="16">
        <v>27.564399999999999</v>
      </c>
      <c r="H156" s="16">
        <v>27.864985000000001</v>
      </c>
      <c r="I156" s="16">
        <v>28.165292999999998</v>
      </c>
      <c r="J156" s="16">
        <v>28.482351000000001</v>
      </c>
      <c r="K156" s="16">
        <v>28.613333000000001</v>
      </c>
      <c r="L156" s="16">
        <v>28.885072999999998</v>
      </c>
      <c r="M156" s="16">
        <v>29.160053000000001</v>
      </c>
      <c r="N156" s="16">
        <v>29.552143000000001</v>
      </c>
      <c r="O156" s="16">
        <v>29.912134000000002</v>
      </c>
      <c r="P156" s="16">
        <v>30.204861000000001</v>
      </c>
      <c r="Q156" s="16">
        <v>30.540302000000001</v>
      </c>
      <c r="R156" s="16">
        <v>30.877569000000001</v>
      </c>
      <c r="S156" s="16">
        <v>31.275749000000001</v>
      </c>
      <c r="T156" s="16">
        <v>31.661991</v>
      </c>
      <c r="U156" s="16">
        <v>32.087963000000002</v>
      </c>
      <c r="V156" s="16">
        <v>32.528992000000002</v>
      </c>
      <c r="W156" s="16">
        <v>33.004531999999998</v>
      </c>
      <c r="X156" s="16">
        <v>33.485764000000003</v>
      </c>
      <c r="Y156" s="16">
        <v>33.949660999999999</v>
      </c>
      <c r="Z156" s="16">
        <v>34.434722999999998</v>
      </c>
      <c r="AA156" s="16">
        <v>34.974379999999996</v>
      </c>
      <c r="AB156" s="16">
        <v>35.507731999999997</v>
      </c>
      <c r="AC156" s="16">
        <v>36.019191999999997</v>
      </c>
      <c r="AD156" s="16">
        <v>36.594349000000001</v>
      </c>
      <c r="AE156" s="16">
        <v>37.128487</v>
      </c>
      <c r="AF156" s="16">
        <v>37.694598999999997</v>
      </c>
      <c r="AG156" s="16">
        <v>38.267757000000003</v>
      </c>
      <c r="AH156" s="16">
        <v>38.904305000000001</v>
      </c>
      <c r="AI156" s="16">
        <v>39.587135000000004</v>
      </c>
      <c r="AJ156" s="16">
        <v>40.306786000000002</v>
      </c>
      <c r="AK156" s="16">
        <v>41.096198999999999</v>
      </c>
      <c r="AL156" s="13">
        <v>1.3802E-2</v>
      </c>
    </row>
    <row r="157" spans="1:38" ht="15" customHeight="1" x14ac:dyDescent="0.25">
      <c r="A157" s="7" t="s">
        <v>183</v>
      </c>
      <c r="B157" s="11" t="s">
        <v>184</v>
      </c>
      <c r="C157" s="16">
        <v>136.794464</v>
      </c>
      <c r="D157" s="16">
        <v>145.093323</v>
      </c>
      <c r="E157" s="16">
        <v>149.532974</v>
      </c>
      <c r="F157" s="16">
        <v>156.57208299999999</v>
      </c>
      <c r="G157" s="16">
        <v>159.89979600000001</v>
      </c>
      <c r="H157" s="16">
        <v>161.429642</v>
      </c>
      <c r="I157" s="16">
        <v>163.003998</v>
      </c>
      <c r="J157" s="16">
        <v>164.64988700000001</v>
      </c>
      <c r="K157" s="16">
        <v>164.69371000000001</v>
      </c>
      <c r="L157" s="16">
        <v>165.99748199999999</v>
      </c>
      <c r="M157" s="16">
        <v>167.289322</v>
      </c>
      <c r="N157" s="16">
        <v>169.54960600000001</v>
      </c>
      <c r="O157" s="16">
        <v>171.56605500000001</v>
      </c>
      <c r="P157" s="16">
        <v>173.002579</v>
      </c>
      <c r="Q157" s="16">
        <v>174.753479</v>
      </c>
      <c r="R157" s="16">
        <v>176.47732500000001</v>
      </c>
      <c r="S157" s="16">
        <v>178.645859</v>
      </c>
      <c r="T157" s="16">
        <v>180.69639599999999</v>
      </c>
      <c r="U157" s="16">
        <v>183.07002299999999</v>
      </c>
      <c r="V157" s="16">
        <v>185.492233</v>
      </c>
      <c r="W157" s="16">
        <v>188.137497</v>
      </c>
      <c r="X157" s="16">
        <v>190.81326300000001</v>
      </c>
      <c r="Y157" s="16">
        <v>193.34724399999999</v>
      </c>
      <c r="Z157" s="16">
        <v>196.003006</v>
      </c>
      <c r="AA157" s="16">
        <v>199.12799100000001</v>
      </c>
      <c r="AB157" s="16">
        <v>202.114349</v>
      </c>
      <c r="AC157" s="16">
        <v>204.88786300000001</v>
      </c>
      <c r="AD157" s="16">
        <v>208.08753999999999</v>
      </c>
      <c r="AE157" s="16">
        <v>210.97976700000001</v>
      </c>
      <c r="AF157" s="16">
        <v>214.073746</v>
      </c>
      <c r="AG157" s="16">
        <v>217.171066</v>
      </c>
      <c r="AH157" s="16">
        <v>220.67067</v>
      </c>
      <c r="AI157" s="16">
        <v>224.425827</v>
      </c>
      <c r="AJ157" s="16">
        <v>228.399002</v>
      </c>
      <c r="AK157" s="16">
        <v>232.77642800000001</v>
      </c>
      <c r="AL157" s="13">
        <v>1.4427000000000001E-2</v>
      </c>
    </row>
    <row r="158" spans="1:38" ht="15" customHeight="1" thickBot="1" x14ac:dyDescent="0.3"/>
    <row r="159" spans="1:38" ht="15" customHeight="1" x14ac:dyDescent="0.25">
      <c r="B159" s="369" t="s">
        <v>185</v>
      </c>
      <c r="C159" s="369"/>
      <c r="D159" s="369"/>
      <c r="E159" s="369"/>
      <c r="F159" s="369"/>
      <c r="G159" s="369"/>
      <c r="H159" s="369"/>
      <c r="I159" s="369"/>
      <c r="J159" s="369"/>
      <c r="K159" s="369"/>
      <c r="L159" s="369"/>
      <c r="M159" s="369"/>
      <c r="N159" s="369"/>
      <c r="O159" s="369"/>
      <c r="P159" s="369"/>
      <c r="Q159" s="369"/>
      <c r="R159" s="369"/>
      <c r="S159" s="369"/>
      <c r="T159" s="369"/>
      <c r="U159" s="369"/>
      <c r="V159" s="369"/>
      <c r="W159" s="369"/>
      <c r="X159" s="369"/>
      <c r="Y159" s="369"/>
      <c r="Z159" s="369"/>
      <c r="AA159" s="369"/>
      <c r="AB159" s="369"/>
      <c r="AC159" s="369"/>
      <c r="AD159" s="369"/>
      <c r="AE159" s="369"/>
      <c r="AF159" s="369"/>
      <c r="AG159" s="369"/>
      <c r="AH159" s="369"/>
      <c r="AI159" s="369"/>
      <c r="AJ159" s="369"/>
      <c r="AK159" s="369"/>
      <c r="AL159" s="369"/>
    </row>
    <row r="160" spans="1:38" ht="15" customHeight="1" x14ac:dyDescent="0.25">
      <c r="B160" s="18" t="s">
        <v>186</v>
      </c>
    </row>
    <row r="161" spans="2:2" ht="15" customHeight="1" x14ac:dyDescent="0.25">
      <c r="B161" s="18" t="s">
        <v>187</v>
      </c>
    </row>
    <row r="162" spans="2:2" ht="15" customHeight="1" x14ac:dyDescent="0.25">
      <c r="B162" s="18" t="s">
        <v>188</v>
      </c>
    </row>
    <row r="163" spans="2:2" ht="15" customHeight="1" x14ac:dyDescent="0.25">
      <c r="B163" s="18" t="s">
        <v>189</v>
      </c>
    </row>
    <row r="164" spans="2:2" ht="15" customHeight="1" x14ac:dyDescent="0.25">
      <c r="B164" s="18" t="s">
        <v>190</v>
      </c>
    </row>
    <row r="165" spans="2:2" ht="15" customHeight="1" x14ac:dyDescent="0.25">
      <c r="B165" s="18" t="s">
        <v>191</v>
      </c>
    </row>
    <row r="166" spans="2:2" ht="15" customHeight="1" x14ac:dyDescent="0.25">
      <c r="B166" s="18" t="s">
        <v>192</v>
      </c>
    </row>
    <row r="167" spans="2:2" ht="15" customHeight="1" x14ac:dyDescent="0.25">
      <c r="B167" s="18" t="s">
        <v>193</v>
      </c>
    </row>
    <row r="168" spans="2:2" ht="15" customHeight="1" x14ac:dyDescent="0.25">
      <c r="B168" s="18" t="s">
        <v>194</v>
      </c>
    </row>
    <row r="169" spans="2:2" ht="15" customHeight="1" x14ac:dyDescent="0.25">
      <c r="B169" s="18" t="s">
        <v>1966</v>
      </c>
    </row>
    <row r="170" spans="2:2" ht="15" customHeight="1" x14ac:dyDescent="0.25">
      <c r="B170" s="18" t="s">
        <v>1967</v>
      </c>
    </row>
    <row r="171" spans="2:2" ht="15" customHeight="1" x14ac:dyDescent="0.25">
      <c r="B171" s="18" t="s">
        <v>1968</v>
      </c>
    </row>
    <row r="172" spans="2:2" ht="15" customHeight="1" x14ac:dyDescent="0.25">
      <c r="B172" s="18" t="s">
        <v>1969</v>
      </c>
    </row>
    <row r="173" spans="2:2" ht="15" customHeight="1" x14ac:dyDescent="0.25">
      <c r="B173" s="18" t="s">
        <v>1970</v>
      </c>
    </row>
    <row r="174" spans="2:2" ht="15" customHeight="1" x14ac:dyDescent="0.25">
      <c r="B174" s="18" t="s">
        <v>1971</v>
      </c>
    </row>
    <row r="175" spans="2:2" ht="15" customHeight="1" x14ac:dyDescent="0.25">
      <c r="B175" s="18" t="s">
        <v>1972</v>
      </c>
    </row>
    <row r="176" spans="2:2" ht="15" customHeight="1" x14ac:dyDescent="0.25">
      <c r="B176" s="18" t="s">
        <v>1973</v>
      </c>
    </row>
    <row r="177" spans="2:2" ht="15" customHeight="1" x14ac:dyDescent="0.25">
      <c r="B177" s="18" t="s">
        <v>1974</v>
      </c>
    </row>
    <row r="178" spans="2:2" ht="15" customHeight="1" x14ac:dyDescent="0.25">
      <c r="B178" s="18" t="s">
        <v>1758</v>
      </c>
    </row>
    <row r="179" spans="2:2" ht="15" customHeight="1" x14ac:dyDescent="0.25">
      <c r="B179" s="18" t="s">
        <v>1759</v>
      </c>
    </row>
  </sheetData>
  <mergeCells count="1">
    <mergeCell ref="B159:AL1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136"/>
  <sheetViews>
    <sheetView topLeftCell="A4" workbookViewId="0">
      <selection activeCell="C31" sqref="C31:AJ32"/>
    </sheetView>
  </sheetViews>
  <sheetFormatPr defaultRowHeight="15" x14ac:dyDescent="0.25"/>
  <cols>
    <col min="1" max="1" width="39.5703125" customWidth="1"/>
    <col min="9" max="9" width="11.42578125" customWidth="1"/>
  </cols>
  <sheetData>
    <row r="1" spans="1:9" x14ac:dyDescent="0.25">
      <c r="A1" s="55" t="s">
        <v>773</v>
      </c>
      <c r="B1" s="55"/>
      <c r="C1" s="55"/>
      <c r="D1" s="55"/>
      <c r="E1" s="55"/>
      <c r="F1" s="55"/>
      <c r="G1" s="55"/>
      <c r="H1" s="55"/>
      <c r="I1" s="58"/>
    </row>
    <row r="2" spans="1:9" x14ac:dyDescent="0.25">
      <c r="A2" s="141" t="s">
        <v>1075</v>
      </c>
      <c r="B2" s="29"/>
      <c r="C2" s="29"/>
      <c r="D2" s="29"/>
      <c r="E2" s="29"/>
      <c r="F2" s="29"/>
      <c r="G2" s="29"/>
      <c r="H2" s="29"/>
    </row>
    <row r="3" spans="1:9" ht="48" x14ac:dyDescent="0.25">
      <c r="A3" s="99"/>
      <c r="B3" s="99" t="s">
        <v>195</v>
      </c>
      <c r="C3" s="145" t="s">
        <v>196</v>
      </c>
      <c r="D3" s="146" t="s">
        <v>197</v>
      </c>
      <c r="E3" s="146" t="s">
        <v>198</v>
      </c>
      <c r="F3" s="146" t="s">
        <v>199</v>
      </c>
      <c r="G3" s="146" t="s">
        <v>200</v>
      </c>
      <c r="H3" s="146" t="s">
        <v>200</v>
      </c>
      <c r="I3" s="146" t="s">
        <v>1076</v>
      </c>
    </row>
    <row r="4" spans="1:9" ht="24" x14ac:dyDescent="0.25">
      <c r="A4" s="147" t="s">
        <v>201</v>
      </c>
      <c r="B4" s="147" t="s">
        <v>202</v>
      </c>
      <c r="C4" s="148" t="s">
        <v>203</v>
      </c>
      <c r="D4" s="147" t="s">
        <v>204</v>
      </c>
      <c r="E4" s="19"/>
      <c r="F4" s="147" t="s">
        <v>204</v>
      </c>
      <c r="G4" s="147" t="s">
        <v>204</v>
      </c>
      <c r="H4" s="19" t="s">
        <v>205</v>
      </c>
      <c r="I4" s="19"/>
    </row>
    <row r="5" spans="1:9" x14ac:dyDescent="0.25">
      <c r="A5" s="146" t="s">
        <v>206</v>
      </c>
      <c r="B5" s="149">
        <v>4626.8999999999996</v>
      </c>
      <c r="C5" s="145" t="s">
        <v>1964</v>
      </c>
      <c r="D5" s="76">
        <v>85.3</v>
      </c>
      <c r="E5" s="146" t="s">
        <v>1964</v>
      </c>
      <c r="F5" s="76">
        <v>58.6</v>
      </c>
      <c r="G5" s="76">
        <v>26.6</v>
      </c>
      <c r="H5" s="76">
        <v>97.6</v>
      </c>
    </row>
    <row r="6" spans="1:9" x14ac:dyDescent="0.25">
      <c r="A6" s="143" t="s">
        <v>207</v>
      </c>
      <c r="B6" s="80">
        <v>88.8</v>
      </c>
      <c r="C6" s="150">
        <v>31</v>
      </c>
      <c r="D6" s="80">
        <v>2.8</v>
      </c>
      <c r="E6" s="150">
        <v>0.1</v>
      </c>
      <c r="F6" s="80">
        <v>0.3</v>
      </c>
      <c r="G6" s="80">
        <v>2.5</v>
      </c>
      <c r="H6" s="80">
        <v>9.1</v>
      </c>
      <c r="I6" t="s">
        <v>227</v>
      </c>
    </row>
    <row r="7" spans="1:9" x14ac:dyDescent="0.25">
      <c r="A7" s="143" t="s">
        <v>208</v>
      </c>
      <c r="B7" s="80">
        <v>10.3</v>
      </c>
      <c r="C7" s="150">
        <v>25.82</v>
      </c>
      <c r="D7" s="80">
        <v>0.3</v>
      </c>
      <c r="E7" s="150">
        <v>0.7</v>
      </c>
      <c r="F7" s="80">
        <v>0.2</v>
      </c>
      <c r="G7" s="80">
        <v>0.1</v>
      </c>
      <c r="H7" s="151">
        <v>0.3</v>
      </c>
      <c r="I7" t="s">
        <v>227</v>
      </c>
    </row>
    <row r="8" spans="1:9" x14ac:dyDescent="0.25">
      <c r="A8" s="143" t="s">
        <v>209</v>
      </c>
      <c r="B8" s="81">
        <v>289.5</v>
      </c>
      <c r="C8" s="152">
        <v>14.47</v>
      </c>
      <c r="D8" s="81">
        <v>4.2</v>
      </c>
      <c r="E8" s="152">
        <v>0.7</v>
      </c>
      <c r="F8" s="81">
        <v>2.9</v>
      </c>
      <c r="G8" s="81">
        <v>1.3</v>
      </c>
      <c r="H8" s="153">
        <v>4.5999999999999996</v>
      </c>
      <c r="I8" t="s">
        <v>229</v>
      </c>
    </row>
    <row r="9" spans="1:9" x14ac:dyDescent="0.25">
      <c r="A9" s="143" t="s">
        <v>210</v>
      </c>
      <c r="B9" s="80">
        <v>853.4</v>
      </c>
      <c r="C9" s="150">
        <v>20.55</v>
      </c>
      <c r="D9" s="80">
        <v>17.5</v>
      </c>
      <c r="E9" s="150">
        <v>1</v>
      </c>
      <c r="F9" s="80">
        <v>17.5</v>
      </c>
      <c r="G9" s="80">
        <v>0.1</v>
      </c>
      <c r="H9" s="151">
        <v>0.3</v>
      </c>
      <c r="I9" t="s">
        <v>229</v>
      </c>
    </row>
    <row r="10" spans="1:9" x14ac:dyDescent="0.25">
      <c r="A10" s="143" t="s">
        <v>211</v>
      </c>
      <c r="B10" s="80">
        <v>2117.6</v>
      </c>
      <c r="C10" s="150">
        <v>17.059999999999999</v>
      </c>
      <c r="D10" s="80">
        <v>36.1</v>
      </c>
      <c r="E10" s="150">
        <v>0.7</v>
      </c>
      <c r="F10" s="80">
        <v>25.3</v>
      </c>
      <c r="G10" s="80">
        <v>10.8</v>
      </c>
      <c r="H10" s="80">
        <v>39.700000000000003</v>
      </c>
      <c r="I10" t="s">
        <v>229</v>
      </c>
    </row>
    <row r="11" spans="1:9" x14ac:dyDescent="0.25">
      <c r="A11" s="143" t="s">
        <v>212</v>
      </c>
      <c r="B11" s="80">
        <v>148.9</v>
      </c>
      <c r="C11" s="150">
        <v>20.2</v>
      </c>
      <c r="D11" s="80">
        <v>3</v>
      </c>
      <c r="E11" s="150">
        <v>0.09</v>
      </c>
      <c r="F11" s="80">
        <v>0.3</v>
      </c>
      <c r="G11" s="80">
        <v>2.7</v>
      </c>
      <c r="H11" s="80">
        <v>10</v>
      </c>
      <c r="I11" t="s">
        <v>229</v>
      </c>
    </row>
    <row r="12" spans="1:9" x14ac:dyDescent="0.25">
      <c r="A12" s="143" t="s">
        <v>213</v>
      </c>
      <c r="B12" s="80">
        <v>53</v>
      </c>
      <c r="C12" s="150">
        <v>19.100000000000001</v>
      </c>
      <c r="D12" s="80">
        <v>1</v>
      </c>
      <c r="E12" s="150">
        <v>0.7</v>
      </c>
      <c r="F12" s="80">
        <v>0.7</v>
      </c>
      <c r="G12" s="80">
        <v>0.3</v>
      </c>
      <c r="H12" s="151">
        <v>1.1000000000000001</v>
      </c>
      <c r="I12" t="s">
        <v>229</v>
      </c>
    </row>
    <row r="13" spans="1:9" x14ac:dyDescent="0.25">
      <c r="A13" s="143" t="s">
        <v>214</v>
      </c>
      <c r="B13" s="80">
        <v>396.6</v>
      </c>
      <c r="C13" s="150">
        <v>18.55</v>
      </c>
      <c r="D13" s="80">
        <v>7.4</v>
      </c>
      <c r="E13" s="150">
        <v>0.7</v>
      </c>
      <c r="F13" s="80">
        <v>5.2</v>
      </c>
      <c r="G13" s="80">
        <v>2.2000000000000002</v>
      </c>
      <c r="H13" s="151">
        <v>8.1</v>
      </c>
      <c r="I13" t="s">
        <v>229</v>
      </c>
    </row>
    <row r="14" spans="1:9" x14ac:dyDescent="0.25">
      <c r="A14" s="143" t="s">
        <v>215</v>
      </c>
      <c r="B14" s="80">
        <v>203.8</v>
      </c>
      <c r="C14" s="150">
        <v>20.170000000000002</v>
      </c>
      <c r="D14" s="80">
        <v>4.0999999999999996</v>
      </c>
      <c r="E14" s="150">
        <v>0.7</v>
      </c>
      <c r="F14" s="80">
        <v>2.9</v>
      </c>
      <c r="G14" s="80">
        <v>1.2</v>
      </c>
      <c r="H14" s="151">
        <v>4.5</v>
      </c>
      <c r="I14" t="s">
        <v>229</v>
      </c>
    </row>
    <row r="15" spans="1:9" x14ac:dyDescent="0.25">
      <c r="A15" s="143" t="s">
        <v>216</v>
      </c>
      <c r="B15" s="80">
        <v>166.1</v>
      </c>
      <c r="C15" s="150">
        <v>17.510000000000002</v>
      </c>
      <c r="D15" s="80">
        <v>2.9</v>
      </c>
      <c r="E15" s="150">
        <v>0.7</v>
      </c>
      <c r="F15" s="80">
        <v>2</v>
      </c>
      <c r="G15" s="80">
        <v>0.9</v>
      </c>
      <c r="H15" s="151">
        <v>3.2</v>
      </c>
      <c r="I15" t="s">
        <v>229</v>
      </c>
    </row>
    <row r="16" spans="1:9" x14ac:dyDescent="0.25">
      <c r="A16" s="143" t="s">
        <v>217</v>
      </c>
      <c r="B16" s="154">
        <v>0</v>
      </c>
      <c r="C16" s="150">
        <v>27.85</v>
      </c>
      <c r="D16" s="154">
        <v>0</v>
      </c>
      <c r="E16" s="150">
        <v>0.3</v>
      </c>
      <c r="F16" s="154">
        <v>0</v>
      </c>
      <c r="G16" s="154">
        <v>0</v>
      </c>
      <c r="H16" s="154">
        <v>0</v>
      </c>
      <c r="I16" t="s">
        <v>227</v>
      </c>
    </row>
    <row r="17" spans="1:37" x14ac:dyDescent="0.25">
      <c r="A17" s="143" t="s">
        <v>218</v>
      </c>
      <c r="B17" s="80">
        <v>88.7</v>
      </c>
      <c r="C17" s="150">
        <v>19.739999999999998</v>
      </c>
      <c r="D17" s="80">
        <v>1.8</v>
      </c>
      <c r="E17" s="150">
        <v>0.7</v>
      </c>
      <c r="F17" s="80">
        <v>1.2</v>
      </c>
      <c r="G17" s="80">
        <v>0.5</v>
      </c>
      <c r="H17" s="151">
        <v>1.9</v>
      </c>
      <c r="I17" t="s">
        <v>229</v>
      </c>
    </row>
    <row r="18" spans="1:37" x14ac:dyDescent="0.25">
      <c r="A18" s="143" t="s">
        <v>219</v>
      </c>
      <c r="B18" s="151">
        <v>5.8</v>
      </c>
      <c r="C18" s="150">
        <v>20.170000000000002</v>
      </c>
      <c r="D18" s="80">
        <v>0.1</v>
      </c>
      <c r="E18" s="150">
        <v>0.5</v>
      </c>
      <c r="F18" s="80">
        <v>0.1</v>
      </c>
      <c r="G18" s="80">
        <v>0.1</v>
      </c>
      <c r="H18" s="151">
        <v>0.2</v>
      </c>
      <c r="I18" t="s">
        <v>229</v>
      </c>
    </row>
    <row r="19" spans="1:37" x14ac:dyDescent="0.25">
      <c r="A19" s="143" t="s">
        <v>220</v>
      </c>
      <c r="B19" s="80">
        <v>12.9</v>
      </c>
      <c r="C19" s="150">
        <v>19.8</v>
      </c>
      <c r="D19" s="80">
        <v>0.3</v>
      </c>
      <c r="E19" s="150">
        <v>0.57999999999999996</v>
      </c>
      <c r="F19" s="80">
        <v>0.1</v>
      </c>
      <c r="G19" s="80">
        <v>0.1</v>
      </c>
      <c r="H19" s="151">
        <v>0.4</v>
      </c>
      <c r="I19" t="s">
        <v>229</v>
      </c>
    </row>
    <row r="20" spans="1:37" x14ac:dyDescent="0.25">
      <c r="A20" s="143" t="s">
        <v>221</v>
      </c>
      <c r="B20" s="80">
        <v>191.3</v>
      </c>
      <c r="C20" s="150">
        <v>20.309999999999999</v>
      </c>
      <c r="D20" s="80">
        <v>3.9</v>
      </c>
      <c r="E20" s="154">
        <v>0</v>
      </c>
      <c r="F20" s="154">
        <v>0</v>
      </c>
      <c r="G20" s="80">
        <v>3.9</v>
      </c>
      <c r="H20" s="80">
        <v>14.2</v>
      </c>
      <c r="I20" t="s">
        <v>229</v>
      </c>
    </row>
    <row r="21" spans="1:37" x14ac:dyDescent="0.25">
      <c r="A21" s="155" t="s">
        <v>222</v>
      </c>
      <c r="B21" s="79">
        <v>140.6</v>
      </c>
      <c r="C21" s="156" t="s">
        <v>1964</v>
      </c>
      <c r="D21" s="79">
        <v>2.8</v>
      </c>
      <c r="E21" s="155" t="s">
        <v>1964</v>
      </c>
      <c r="F21" s="79">
        <v>0.3</v>
      </c>
      <c r="G21" s="79">
        <v>2.6</v>
      </c>
      <c r="H21" s="79">
        <v>9.5</v>
      </c>
    </row>
    <row r="22" spans="1:37" x14ac:dyDescent="0.25">
      <c r="A22" s="143" t="s">
        <v>212</v>
      </c>
      <c r="B22" s="80">
        <v>140.6</v>
      </c>
      <c r="C22" s="150">
        <v>20.2</v>
      </c>
      <c r="D22" s="80">
        <v>2.8</v>
      </c>
      <c r="E22" s="150">
        <v>0.09</v>
      </c>
      <c r="F22" s="80">
        <v>0.3</v>
      </c>
      <c r="G22" s="80">
        <v>2.6</v>
      </c>
      <c r="H22" s="80">
        <v>9.5</v>
      </c>
    </row>
    <row r="23" spans="1:37" x14ac:dyDescent="0.25">
      <c r="A23" s="155" t="s">
        <v>223</v>
      </c>
      <c r="B23" s="79">
        <v>77.3</v>
      </c>
      <c r="C23" s="156" t="s">
        <v>1964</v>
      </c>
      <c r="D23" s="79">
        <v>1.5</v>
      </c>
      <c r="E23" s="155" t="s">
        <v>1964</v>
      </c>
      <c r="F23" s="79">
        <v>0.2</v>
      </c>
      <c r="G23" s="79">
        <v>1.4</v>
      </c>
      <c r="H23" s="157">
        <v>5.0999999999999996</v>
      </c>
    </row>
    <row r="24" spans="1:37" x14ac:dyDescent="0.25">
      <c r="A24" s="143" t="s">
        <v>212</v>
      </c>
      <c r="B24" s="151">
        <v>1</v>
      </c>
      <c r="C24" s="150">
        <v>20.2</v>
      </c>
      <c r="D24" s="154">
        <v>0</v>
      </c>
      <c r="E24" s="150">
        <v>0.09</v>
      </c>
      <c r="F24" s="154">
        <v>0</v>
      </c>
      <c r="G24" s="154">
        <v>0</v>
      </c>
      <c r="H24" s="151">
        <v>0.1</v>
      </c>
    </row>
    <row r="25" spans="1:37" x14ac:dyDescent="0.25">
      <c r="A25" s="144" t="s">
        <v>224</v>
      </c>
      <c r="B25" s="158">
        <v>76.2</v>
      </c>
      <c r="C25" s="159">
        <v>20</v>
      </c>
      <c r="D25" s="158">
        <v>1.5</v>
      </c>
      <c r="E25" s="159">
        <v>0.1</v>
      </c>
      <c r="F25" s="158">
        <v>0.2</v>
      </c>
      <c r="G25" s="158">
        <v>1.4</v>
      </c>
      <c r="H25" s="160">
        <v>5</v>
      </c>
    </row>
    <row r="26" spans="1:37" x14ac:dyDescent="0.25">
      <c r="A26" s="142" t="s">
        <v>225</v>
      </c>
      <c r="B26" s="161">
        <v>4844.8</v>
      </c>
      <c r="C26" s="162"/>
      <c r="D26" s="85">
        <v>89.7</v>
      </c>
      <c r="E26" s="162"/>
      <c r="F26" s="85">
        <v>59.1</v>
      </c>
      <c r="G26" s="85">
        <v>30.6</v>
      </c>
      <c r="H26" s="85">
        <v>112.2</v>
      </c>
    </row>
    <row r="27" spans="1:37" ht="27" customHeight="1" x14ac:dyDescent="0.25">
      <c r="A27" s="367" t="s">
        <v>226</v>
      </c>
      <c r="B27" s="367"/>
      <c r="C27" s="367"/>
      <c r="D27" s="367"/>
      <c r="E27" s="367"/>
      <c r="F27" s="367"/>
      <c r="G27" s="367"/>
      <c r="H27" s="367"/>
    </row>
    <row r="29" spans="1:37" x14ac:dyDescent="0.25">
      <c r="A29" s="55" t="s">
        <v>555</v>
      </c>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row>
    <row r="30" spans="1:37" x14ac:dyDescent="0.25">
      <c r="B30">
        <v>2016</v>
      </c>
      <c r="C30">
        <v>2017</v>
      </c>
      <c r="D30">
        <v>2018</v>
      </c>
      <c r="E30">
        <v>2019</v>
      </c>
      <c r="F30">
        <v>2020</v>
      </c>
      <c r="G30">
        <v>2021</v>
      </c>
      <c r="H30">
        <v>2022</v>
      </c>
      <c r="I30">
        <v>2023</v>
      </c>
      <c r="J30">
        <v>2024</v>
      </c>
      <c r="K30">
        <v>2025</v>
      </c>
      <c r="L30">
        <v>2026</v>
      </c>
      <c r="M30">
        <v>2027</v>
      </c>
      <c r="N30">
        <v>2028</v>
      </c>
      <c r="O30">
        <v>2029</v>
      </c>
      <c r="P30">
        <v>2030</v>
      </c>
      <c r="Q30">
        <v>2031</v>
      </c>
      <c r="R30">
        <v>2032</v>
      </c>
      <c r="S30">
        <v>2033</v>
      </c>
      <c r="T30">
        <v>2034</v>
      </c>
      <c r="U30">
        <v>2035</v>
      </c>
      <c r="V30">
        <v>2036</v>
      </c>
      <c r="W30">
        <v>2037</v>
      </c>
      <c r="X30">
        <v>2038</v>
      </c>
      <c r="Y30">
        <v>2039</v>
      </c>
      <c r="Z30">
        <v>2040</v>
      </c>
      <c r="AA30">
        <v>2041</v>
      </c>
      <c r="AB30">
        <v>2042</v>
      </c>
      <c r="AC30">
        <v>2043</v>
      </c>
      <c r="AD30">
        <v>2044</v>
      </c>
      <c r="AE30">
        <v>2045</v>
      </c>
      <c r="AF30">
        <v>2046</v>
      </c>
      <c r="AG30">
        <v>2047</v>
      </c>
      <c r="AH30">
        <v>2048</v>
      </c>
      <c r="AI30">
        <v>2049</v>
      </c>
      <c r="AJ30">
        <v>2050</v>
      </c>
    </row>
    <row r="31" spans="1:37" x14ac:dyDescent="0.25">
      <c r="A31" t="s">
        <v>227</v>
      </c>
      <c r="B31" s="2">
        <f>SUMIF($I$6:$I$25,$A31,$H$6:$H$25)</f>
        <v>9.4</v>
      </c>
      <c r="C31" s="2">
        <f>$B31*SUM('AEO 2018_Table 6'!D$98,'AEO 2018_Table 6'!D$102,'AEO 2018_Table 6'!D$103,'AEO 2018_Table 6'!D$104,'AEO 2018_Table 6'!D$109,'AEO 2018_Table 6'!D$114)/SUM('AEO 2018_Table 6'!$C$98,'AEO 2018_Table 6'!$C$102,'AEO 2018_Table 6'!$C$103,'AEO 2018_Table 6'!$C$104,'AEO 2018_Table 6'!$C$109,'AEO 2018_Table 6'!$C$114)</f>
        <v>9.960853708425935</v>
      </c>
      <c r="D31" s="2">
        <f>$B31*SUM('AEO 2018_Table 6'!E$98,'AEO 2018_Table 6'!E$102,'AEO 2018_Table 6'!E$103,'AEO 2018_Table 6'!E$104,'AEO 2018_Table 6'!E$109,'AEO 2018_Table 6'!E$114)/SUM('AEO 2018_Table 6'!$C$98,'AEO 2018_Table 6'!$C$102,'AEO 2018_Table 6'!$C$103,'AEO 2018_Table 6'!$C$104,'AEO 2018_Table 6'!$C$109,'AEO 2018_Table 6'!$C$114)</f>
        <v>10.536092387833762</v>
      </c>
      <c r="E31" s="2">
        <f>$B31*SUM('AEO 2018_Table 6'!F$98,'AEO 2018_Table 6'!F$102,'AEO 2018_Table 6'!F$103,'AEO 2018_Table 6'!F$104,'AEO 2018_Table 6'!F$109,'AEO 2018_Table 6'!F$114)/SUM('AEO 2018_Table 6'!$C$98,'AEO 2018_Table 6'!$C$102,'AEO 2018_Table 6'!$C$103,'AEO 2018_Table 6'!$C$104,'AEO 2018_Table 6'!$C$109,'AEO 2018_Table 6'!$C$114)</f>
        <v>11.060431280689556</v>
      </c>
      <c r="F31" s="2">
        <f>$B31*SUM('AEO 2018_Table 6'!G$98,'AEO 2018_Table 6'!G$102,'AEO 2018_Table 6'!G$103,'AEO 2018_Table 6'!G$104,'AEO 2018_Table 6'!G$109,'AEO 2018_Table 6'!G$114)/SUM('AEO 2018_Table 6'!$C$98,'AEO 2018_Table 6'!$C$102,'AEO 2018_Table 6'!$C$103,'AEO 2018_Table 6'!$C$104,'AEO 2018_Table 6'!$C$109,'AEO 2018_Table 6'!$C$114)</f>
        <v>11.354746283437414</v>
      </c>
      <c r="G31" s="2">
        <f>$B31*SUM('AEO 2018_Table 6'!H$98,'AEO 2018_Table 6'!H$102,'AEO 2018_Table 6'!H$103,'AEO 2018_Table 6'!H$104,'AEO 2018_Table 6'!H$109,'AEO 2018_Table 6'!H$114)/SUM('AEO 2018_Table 6'!$C$98,'AEO 2018_Table 6'!$C$102,'AEO 2018_Table 6'!$C$103,'AEO 2018_Table 6'!$C$104,'AEO 2018_Table 6'!$C$109,'AEO 2018_Table 6'!$C$114)</f>
        <v>11.517305280668346</v>
      </c>
      <c r="H31" s="2">
        <f>$B31*SUM('AEO 2018_Table 6'!I$98,'AEO 2018_Table 6'!I$102,'AEO 2018_Table 6'!I$103,'AEO 2018_Table 6'!I$104,'AEO 2018_Table 6'!I$109,'AEO 2018_Table 6'!I$114)/SUM('AEO 2018_Table 6'!$C$98,'AEO 2018_Table 6'!$C$102,'AEO 2018_Table 6'!$C$103,'AEO 2018_Table 6'!$C$104,'AEO 2018_Table 6'!$C$109,'AEO 2018_Table 6'!$C$114)</f>
        <v>11.695739716222167</v>
      </c>
      <c r="I31" s="2">
        <f>$B31*SUM('AEO 2018_Table 6'!J$98,'AEO 2018_Table 6'!J$102,'AEO 2018_Table 6'!J$103,'AEO 2018_Table 6'!J$104,'AEO 2018_Table 6'!J$109,'AEO 2018_Table 6'!J$114)/SUM('AEO 2018_Table 6'!$C$98,'AEO 2018_Table 6'!$C$102,'AEO 2018_Table 6'!$C$103,'AEO 2018_Table 6'!$C$104,'AEO 2018_Table 6'!$C$109,'AEO 2018_Table 6'!$C$114)</f>
        <v>11.976923244096193</v>
      </c>
      <c r="J31" s="2">
        <f>$B31*SUM('AEO 2018_Table 6'!K$98,'AEO 2018_Table 6'!K$102,'AEO 2018_Table 6'!K$103,'AEO 2018_Table 6'!K$104,'AEO 2018_Table 6'!K$109,'AEO 2018_Table 6'!K$114)/SUM('AEO 2018_Table 6'!$C$98,'AEO 2018_Table 6'!$C$102,'AEO 2018_Table 6'!$C$103,'AEO 2018_Table 6'!$C$104,'AEO 2018_Table 6'!$C$109,'AEO 2018_Table 6'!$C$114)</f>
        <v>12.291625944299067</v>
      </c>
      <c r="K31" s="2">
        <f>$B31*SUM('AEO 2018_Table 6'!L$98,'AEO 2018_Table 6'!L$102,'AEO 2018_Table 6'!L$103,'AEO 2018_Table 6'!L$104,'AEO 2018_Table 6'!L$109,'AEO 2018_Table 6'!L$114)/SUM('AEO 2018_Table 6'!$C$98,'AEO 2018_Table 6'!$C$102,'AEO 2018_Table 6'!$C$103,'AEO 2018_Table 6'!$C$104,'AEO 2018_Table 6'!$C$109,'AEO 2018_Table 6'!$C$114)</f>
        <v>12.460521062013616</v>
      </c>
      <c r="L31" s="2">
        <f>$B31*SUM('AEO 2018_Table 6'!M$98,'AEO 2018_Table 6'!M$102,'AEO 2018_Table 6'!M$103,'AEO 2018_Table 6'!M$104,'AEO 2018_Table 6'!M$109,'AEO 2018_Table 6'!M$114)/SUM('AEO 2018_Table 6'!$C$98,'AEO 2018_Table 6'!$C$102,'AEO 2018_Table 6'!$C$103,'AEO 2018_Table 6'!$C$104,'AEO 2018_Table 6'!$C$109,'AEO 2018_Table 6'!$C$114)</f>
        <v>12.569872663168949</v>
      </c>
      <c r="M31" s="2">
        <f>$B31*SUM('AEO 2018_Table 6'!N$98,'AEO 2018_Table 6'!N$102,'AEO 2018_Table 6'!N$103,'AEO 2018_Table 6'!N$104,'AEO 2018_Table 6'!N$109,'AEO 2018_Table 6'!N$114)/SUM('AEO 2018_Table 6'!$C$98,'AEO 2018_Table 6'!$C$102,'AEO 2018_Table 6'!$C$103,'AEO 2018_Table 6'!$C$104,'AEO 2018_Table 6'!$C$109,'AEO 2018_Table 6'!$C$114)</f>
        <v>12.757380645517982</v>
      </c>
      <c r="N31" s="2">
        <f>$B31*SUM('AEO 2018_Table 6'!O$98,'AEO 2018_Table 6'!O$102,'AEO 2018_Table 6'!O$103,'AEO 2018_Table 6'!O$104,'AEO 2018_Table 6'!O$109,'AEO 2018_Table 6'!O$114)/SUM('AEO 2018_Table 6'!$C$98,'AEO 2018_Table 6'!$C$102,'AEO 2018_Table 6'!$C$103,'AEO 2018_Table 6'!$C$104,'AEO 2018_Table 6'!$C$109,'AEO 2018_Table 6'!$C$114)</f>
        <v>12.970697246561178</v>
      </c>
      <c r="O31" s="2">
        <f>$B31*SUM('AEO 2018_Table 6'!P$98,'AEO 2018_Table 6'!P$102,'AEO 2018_Table 6'!P$103,'AEO 2018_Table 6'!P$104,'AEO 2018_Table 6'!P$109,'AEO 2018_Table 6'!P$114)/SUM('AEO 2018_Table 6'!$C$98,'AEO 2018_Table 6'!$C$102,'AEO 2018_Table 6'!$C$103,'AEO 2018_Table 6'!$C$104,'AEO 2018_Table 6'!$C$109,'AEO 2018_Table 6'!$C$114)</f>
        <v>13.141354122821339</v>
      </c>
      <c r="P31" s="2">
        <f>$B31*SUM('AEO 2018_Table 6'!Q$98,'AEO 2018_Table 6'!Q$102,'AEO 2018_Table 6'!Q$103,'AEO 2018_Table 6'!Q$104,'AEO 2018_Table 6'!Q$109,'AEO 2018_Table 6'!Q$114)/SUM('AEO 2018_Table 6'!$C$98,'AEO 2018_Table 6'!$C$102,'AEO 2018_Table 6'!$C$103,'AEO 2018_Table 6'!$C$104,'AEO 2018_Table 6'!$C$109,'AEO 2018_Table 6'!$C$114)</f>
        <v>13.333078558832414</v>
      </c>
      <c r="Q31" s="2">
        <f>$B31*SUM('AEO 2018_Table 6'!R$98,'AEO 2018_Table 6'!R$102,'AEO 2018_Table 6'!R$103,'AEO 2018_Table 6'!R$104,'AEO 2018_Table 6'!R$109,'AEO 2018_Table 6'!R$114)/SUM('AEO 2018_Table 6'!$C$98,'AEO 2018_Table 6'!$C$102,'AEO 2018_Table 6'!$C$103,'AEO 2018_Table 6'!$C$104,'AEO 2018_Table 6'!$C$109,'AEO 2018_Table 6'!$C$114)</f>
        <v>13.533456530556858</v>
      </c>
      <c r="R31" s="2">
        <f>$B31*SUM('AEO 2018_Table 6'!S$98,'AEO 2018_Table 6'!S$102,'AEO 2018_Table 6'!S$103,'AEO 2018_Table 6'!S$104,'AEO 2018_Table 6'!S$109,'AEO 2018_Table 6'!S$114)/SUM('AEO 2018_Table 6'!$C$98,'AEO 2018_Table 6'!$C$102,'AEO 2018_Table 6'!$C$103,'AEO 2018_Table 6'!$C$104,'AEO 2018_Table 6'!$C$109,'AEO 2018_Table 6'!$C$114)</f>
        <v>13.660241043035056</v>
      </c>
      <c r="S31" s="2">
        <f>$B31*SUM('AEO 2018_Table 6'!T$98,'AEO 2018_Table 6'!T$102,'AEO 2018_Table 6'!T$103,'AEO 2018_Table 6'!T$104,'AEO 2018_Table 6'!T$109,'AEO 2018_Table 6'!T$114)/SUM('AEO 2018_Table 6'!$C$98,'AEO 2018_Table 6'!$C$102,'AEO 2018_Table 6'!$C$103,'AEO 2018_Table 6'!$C$104,'AEO 2018_Table 6'!$C$109,'AEO 2018_Table 6'!$C$114)</f>
        <v>13.827147236677238</v>
      </c>
      <c r="T31" s="2">
        <f>$B31*SUM('AEO 2018_Table 6'!U$98,'AEO 2018_Table 6'!U$102,'AEO 2018_Table 6'!U$103,'AEO 2018_Table 6'!U$104,'AEO 2018_Table 6'!U$109,'AEO 2018_Table 6'!U$114)/SUM('AEO 2018_Table 6'!$C$98,'AEO 2018_Table 6'!$C$102,'AEO 2018_Table 6'!$C$103,'AEO 2018_Table 6'!$C$104,'AEO 2018_Table 6'!$C$109,'AEO 2018_Table 6'!$C$114)</f>
        <v>13.927364822515854</v>
      </c>
      <c r="U31" s="2">
        <f>$B31*SUM('AEO 2018_Table 6'!V$98,'AEO 2018_Table 6'!V$102,'AEO 2018_Table 6'!V$103,'AEO 2018_Table 6'!V$104,'AEO 2018_Table 6'!V$109,'AEO 2018_Table 6'!V$114)/SUM('AEO 2018_Table 6'!$C$98,'AEO 2018_Table 6'!$C$102,'AEO 2018_Table 6'!$C$103,'AEO 2018_Table 6'!$C$104,'AEO 2018_Table 6'!$C$109,'AEO 2018_Table 6'!$C$114)</f>
        <v>14.025554261457332</v>
      </c>
      <c r="V31" s="2">
        <f>$B31*SUM('AEO 2018_Table 6'!W$98,'AEO 2018_Table 6'!W$102,'AEO 2018_Table 6'!W$103,'AEO 2018_Table 6'!W$104,'AEO 2018_Table 6'!W$109,'AEO 2018_Table 6'!W$114)/SUM('AEO 2018_Table 6'!$C$98,'AEO 2018_Table 6'!$C$102,'AEO 2018_Table 6'!$C$103,'AEO 2018_Table 6'!$C$104,'AEO 2018_Table 6'!$C$109,'AEO 2018_Table 6'!$C$114)</f>
        <v>14.112780920877514</v>
      </c>
      <c r="W31" s="2">
        <f>$B31*SUM('AEO 2018_Table 6'!X$98,'AEO 2018_Table 6'!X$102,'AEO 2018_Table 6'!X$103,'AEO 2018_Table 6'!X$104,'AEO 2018_Table 6'!X$109,'AEO 2018_Table 6'!X$114)/SUM('AEO 2018_Table 6'!$C$98,'AEO 2018_Table 6'!$C$102,'AEO 2018_Table 6'!$C$103,'AEO 2018_Table 6'!$C$104,'AEO 2018_Table 6'!$C$109,'AEO 2018_Table 6'!$C$114)</f>
        <v>14.273360799742273</v>
      </c>
      <c r="X31" s="2">
        <f>$B31*SUM('AEO 2018_Table 6'!Y$98,'AEO 2018_Table 6'!Y$102,'AEO 2018_Table 6'!Y$103,'AEO 2018_Table 6'!Y$104,'AEO 2018_Table 6'!Y$109,'AEO 2018_Table 6'!Y$114)/SUM('AEO 2018_Table 6'!$C$98,'AEO 2018_Table 6'!$C$102,'AEO 2018_Table 6'!$C$103,'AEO 2018_Table 6'!$C$104,'AEO 2018_Table 6'!$C$109,'AEO 2018_Table 6'!$C$114)</f>
        <v>14.486386498168473</v>
      </c>
      <c r="Y31" s="2">
        <f>$B31*SUM('AEO 2018_Table 6'!Z$98,'AEO 2018_Table 6'!Z$102,'AEO 2018_Table 6'!Z$103,'AEO 2018_Table 6'!Z$104,'AEO 2018_Table 6'!Z$109,'AEO 2018_Table 6'!Z$114)/SUM('AEO 2018_Table 6'!$C$98,'AEO 2018_Table 6'!$C$102,'AEO 2018_Table 6'!$C$103,'AEO 2018_Table 6'!$C$104,'AEO 2018_Table 6'!$C$109,'AEO 2018_Table 6'!$C$114)</f>
        <v>14.579985232328299</v>
      </c>
      <c r="Z31" s="2">
        <f>$B31*SUM('AEO 2018_Table 6'!AA$98,'AEO 2018_Table 6'!AA$102,'AEO 2018_Table 6'!AA$103,'AEO 2018_Table 6'!AA$104,'AEO 2018_Table 6'!AA$109,'AEO 2018_Table 6'!AA$114)/SUM('AEO 2018_Table 6'!$C$98,'AEO 2018_Table 6'!$C$102,'AEO 2018_Table 6'!$C$103,'AEO 2018_Table 6'!$C$104,'AEO 2018_Table 6'!$C$109,'AEO 2018_Table 6'!$C$114)</f>
        <v>14.645220961331265</v>
      </c>
      <c r="AA31" s="2">
        <f>$B31*SUM('AEO 2018_Table 6'!AB$98,'AEO 2018_Table 6'!AB$102,'AEO 2018_Table 6'!AB$103,'AEO 2018_Table 6'!AB$104,'AEO 2018_Table 6'!AB$109,'AEO 2018_Table 6'!AB$114)/SUM('AEO 2018_Table 6'!$C$98,'AEO 2018_Table 6'!$C$102,'AEO 2018_Table 6'!$C$103,'AEO 2018_Table 6'!$C$104,'AEO 2018_Table 6'!$C$109,'AEO 2018_Table 6'!$C$114)</f>
        <v>14.725956243253144</v>
      </c>
      <c r="AB31" s="2">
        <f>$B31*SUM('AEO 2018_Table 6'!AC$98,'AEO 2018_Table 6'!AC$102,'AEO 2018_Table 6'!AC$103,'AEO 2018_Table 6'!AC$104,'AEO 2018_Table 6'!AC$109,'AEO 2018_Table 6'!AC$114)/SUM('AEO 2018_Table 6'!$C$98,'AEO 2018_Table 6'!$C$102,'AEO 2018_Table 6'!$C$103,'AEO 2018_Table 6'!$C$104,'AEO 2018_Table 6'!$C$109,'AEO 2018_Table 6'!$C$114)</f>
        <v>14.754907590781455</v>
      </c>
      <c r="AC31" s="2">
        <f>$B31*SUM('AEO 2018_Table 6'!AD$98,'AEO 2018_Table 6'!AD$102,'AEO 2018_Table 6'!AD$103,'AEO 2018_Table 6'!AD$104,'AEO 2018_Table 6'!AD$109,'AEO 2018_Table 6'!AD$114)/SUM('AEO 2018_Table 6'!$C$98,'AEO 2018_Table 6'!$C$102,'AEO 2018_Table 6'!$C$103,'AEO 2018_Table 6'!$C$104,'AEO 2018_Table 6'!$C$109,'AEO 2018_Table 6'!$C$114)</f>
        <v>14.816900899603999</v>
      </c>
      <c r="AD31" s="2">
        <f>$B31*SUM('AEO 2018_Table 6'!AE$98,'AEO 2018_Table 6'!AE$102,'AEO 2018_Table 6'!AE$103,'AEO 2018_Table 6'!AE$104,'AEO 2018_Table 6'!AE$109,'AEO 2018_Table 6'!AE$114)/SUM('AEO 2018_Table 6'!$C$98,'AEO 2018_Table 6'!$C$102,'AEO 2018_Table 6'!$C$103,'AEO 2018_Table 6'!$C$104,'AEO 2018_Table 6'!$C$109,'AEO 2018_Table 6'!$C$114)</f>
        <v>14.870801232250415</v>
      </c>
      <c r="AE31" s="2">
        <f>$B31*SUM('AEO 2018_Table 6'!AF$98,'AEO 2018_Table 6'!AF$102,'AEO 2018_Table 6'!AF$103,'AEO 2018_Table 6'!AF$104,'AEO 2018_Table 6'!AF$109,'AEO 2018_Table 6'!AF$114)/SUM('AEO 2018_Table 6'!$C$98,'AEO 2018_Table 6'!$C$102,'AEO 2018_Table 6'!$C$103,'AEO 2018_Table 6'!$C$104,'AEO 2018_Table 6'!$C$109,'AEO 2018_Table 6'!$C$114)</f>
        <v>14.945190587982481</v>
      </c>
      <c r="AF31" s="2">
        <f>$B31*SUM('AEO 2018_Table 6'!AG$98,'AEO 2018_Table 6'!AG$102,'AEO 2018_Table 6'!AG$103,'AEO 2018_Table 6'!AG$104,'AEO 2018_Table 6'!AG$109,'AEO 2018_Table 6'!AG$114)/SUM('AEO 2018_Table 6'!$C$98,'AEO 2018_Table 6'!$C$102,'AEO 2018_Table 6'!$C$103,'AEO 2018_Table 6'!$C$104,'AEO 2018_Table 6'!$C$109,'AEO 2018_Table 6'!$C$114)</f>
        <v>14.996593734118973</v>
      </c>
      <c r="AG31" s="2">
        <f>$B31*SUM('AEO 2018_Table 6'!AH$98,'AEO 2018_Table 6'!AH$102,'AEO 2018_Table 6'!AH$103,'AEO 2018_Table 6'!AH$104,'AEO 2018_Table 6'!AH$109,'AEO 2018_Table 6'!AH$114)/SUM('AEO 2018_Table 6'!$C$98,'AEO 2018_Table 6'!$C$102,'AEO 2018_Table 6'!$C$103,'AEO 2018_Table 6'!$C$104,'AEO 2018_Table 6'!$C$109,'AEO 2018_Table 6'!$C$114)</f>
        <v>15.067168670142829</v>
      </c>
      <c r="AH31" s="2">
        <f>$B31*SUM('AEO 2018_Table 6'!AI$98,'AEO 2018_Table 6'!AI$102,'AEO 2018_Table 6'!AI$103,'AEO 2018_Table 6'!AI$104,'AEO 2018_Table 6'!AI$109,'AEO 2018_Table 6'!AI$114)/SUM('AEO 2018_Table 6'!$C$98,'AEO 2018_Table 6'!$C$102,'AEO 2018_Table 6'!$C$103,'AEO 2018_Table 6'!$C$104,'AEO 2018_Table 6'!$C$109,'AEO 2018_Table 6'!$C$114)</f>
        <v>15.149356830865305</v>
      </c>
      <c r="AI31" s="2">
        <f>$B31*SUM('AEO 2018_Table 6'!AJ$98,'AEO 2018_Table 6'!AJ$102,'AEO 2018_Table 6'!AJ$103,'AEO 2018_Table 6'!AJ$104,'AEO 2018_Table 6'!AJ$109,'AEO 2018_Table 6'!AJ$114)/SUM('AEO 2018_Table 6'!$C$98,'AEO 2018_Table 6'!$C$102,'AEO 2018_Table 6'!$C$103,'AEO 2018_Table 6'!$C$104,'AEO 2018_Table 6'!$C$109,'AEO 2018_Table 6'!$C$114)</f>
        <v>15.220078852482018</v>
      </c>
      <c r="AJ31" s="2">
        <f>$B31*SUM('AEO 2018_Table 6'!AK$98,'AEO 2018_Table 6'!AK$102,'AEO 2018_Table 6'!AK$103,'AEO 2018_Table 6'!AK$104,'AEO 2018_Table 6'!AK$109,'AEO 2018_Table 6'!AK$114)/SUM('AEO 2018_Table 6'!$C$98,'AEO 2018_Table 6'!$C$102,'AEO 2018_Table 6'!$C$103,'AEO 2018_Table 6'!$C$104,'AEO 2018_Table 6'!$C$109,'AEO 2018_Table 6'!$C$114)</f>
        <v>15.291367970773434</v>
      </c>
    </row>
    <row r="32" spans="1:37" x14ac:dyDescent="0.25">
      <c r="A32" t="s">
        <v>229</v>
      </c>
      <c r="B32" s="2">
        <f>SUMIF($I$6:$I$25,$A32,$H$6:$H$25)</f>
        <v>88.200000000000031</v>
      </c>
      <c r="C32" s="2">
        <f>$B32*SUM('AEO 2018_Table 6'!D$98,'AEO 2018_Table 6'!D$102,'AEO 2018_Table 6'!D$103,'AEO 2018_Table 6'!D$104,'AEO 2018_Table 6'!D$109,'AEO 2018_Table 6'!D$114)/SUM('AEO 2018_Table 6'!$C$98,'AEO 2018_Table 6'!$C$102,'AEO 2018_Table 6'!$C$103,'AEO 2018_Table 6'!$C$104,'AEO 2018_Table 6'!$C$109,'AEO 2018_Table 6'!$C$114)</f>
        <v>93.462478413102971</v>
      </c>
      <c r="D32" s="2">
        <f>$B32*SUM('AEO 2018_Table 6'!E$98,'AEO 2018_Table 6'!E$102,'AEO 2018_Table 6'!E$103,'AEO 2018_Table 6'!E$104,'AEO 2018_Table 6'!E$109,'AEO 2018_Table 6'!E$114)/SUM('AEO 2018_Table 6'!$C$98,'AEO 2018_Table 6'!$C$102,'AEO 2018_Table 6'!$C$103,'AEO 2018_Table 6'!$C$104,'AEO 2018_Table 6'!$C$109,'AEO 2018_Table 6'!$C$114)</f>
        <v>98.859930702865753</v>
      </c>
      <c r="E32" s="2">
        <f>$B32*SUM('AEO 2018_Table 6'!F$98,'AEO 2018_Table 6'!F$102,'AEO 2018_Table 6'!F$103,'AEO 2018_Table 6'!F$104,'AEO 2018_Table 6'!F$109,'AEO 2018_Table 6'!F$114)/SUM('AEO 2018_Table 6'!$C$98,'AEO 2018_Table 6'!$C$102,'AEO 2018_Table 6'!$C$103,'AEO 2018_Table 6'!$C$104,'AEO 2018_Table 6'!$C$109,'AEO 2018_Table 6'!$C$114)</f>
        <v>103.77979137838501</v>
      </c>
      <c r="F32" s="2">
        <f>$B32*SUM('AEO 2018_Table 6'!G$98,'AEO 2018_Table 6'!G$102,'AEO 2018_Table 6'!G$103,'AEO 2018_Table 6'!G$104,'AEO 2018_Table 6'!G$109,'AEO 2018_Table 6'!G$114)/SUM('AEO 2018_Table 6'!$C$98,'AEO 2018_Table 6'!$C$102,'AEO 2018_Table 6'!$C$103,'AEO 2018_Table 6'!$C$104,'AEO 2018_Table 6'!$C$109,'AEO 2018_Table 6'!$C$114)</f>
        <v>106.54134278714685</v>
      </c>
      <c r="G32" s="2">
        <f>$B32*SUM('AEO 2018_Table 6'!H$98,'AEO 2018_Table 6'!H$102,'AEO 2018_Table 6'!H$103,'AEO 2018_Table 6'!H$104,'AEO 2018_Table 6'!H$109,'AEO 2018_Table 6'!H$114)/SUM('AEO 2018_Table 6'!$C$98,'AEO 2018_Table 6'!$C$102,'AEO 2018_Table 6'!$C$103,'AEO 2018_Table 6'!$C$104,'AEO 2018_Table 6'!$C$109,'AEO 2018_Table 6'!$C$114)</f>
        <v>108.0666303994626</v>
      </c>
      <c r="H32" s="2">
        <f>$B32*SUM('AEO 2018_Table 6'!I$98,'AEO 2018_Table 6'!I$102,'AEO 2018_Table 6'!I$103,'AEO 2018_Table 6'!I$104,'AEO 2018_Table 6'!I$109,'AEO 2018_Table 6'!I$114)/SUM('AEO 2018_Table 6'!$C$98,'AEO 2018_Table 6'!$C$102,'AEO 2018_Table 6'!$C$103,'AEO 2018_Table 6'!$C$104,'AEO 2018_Table 6'!$C$109,'AEO 2018_Table 6'!$C$114)</f>
        <v>109.74087691178676</v>
      </c>
      <c r="I32" s="2">
        <f>$B32*SUM('AEO 2018_Table 6'!J$98,'AEO 2018_Table 6'!J$102,'AEO 2018_Table 6'!J$103,'AEO 2018_Table 6'!J$104,'AEO 2018_Table 6'!J$109,'AEO 2018_Table 6'!J$114)/SUM('AEO 2018_Table 6'!$C$98,'AEO 2018_Table 6'!$C$102,'AEO 2018_Table 6'!$C$103,'AEO 2018_Table 6'!$C$104,'AEO 2018_Table 6'!$C$109,'AEO 2018_Table 6'!$C$114)</f>
        <v>112.37921597120047</v>
      </c>
      <c r="J32" s="2">
        <f>$B32*SUM('AEO 2018_Table 6'!K$98,'AEO 2018_Table 6'!K$102,'AEO 2018_Table 6'!K$103,'AEO 2018_Table 6'!K$104,'AEO 2018_Table 6'!K$109,'AEO 2018_Table 6'!K$114)/SUM('AEO 2018_Table 6'!$C$98,'AEO 2018_Table 6'!$C$102,'AEO 2018_Table 6'!$C$103,'AEO 2018_Table 6'!$C$104,'AEO 2018_Table 6'!$C$109,'AEO 2018_Table 6'!$C$114)</f>
        <v>115.33206471140194</v>
      </c>
      <c r="K32" s="2">
        <f>$B32*SUM('AEO 2018_Table 6'!L$98,'AEO 2018_Table 6'!L$102,'AEO 2018_Table 6'!L$103,'AEO 2018_Table 6'!L$104,'AEO 2018_Table 6'!L$109,'AEO 2018_Table 6'!L$114)/SUM('AEO 2018_Table 6'!$C$98,'AEO 2018_Table 6'!$C$102,'AEO 2018_Table 6'!$C$103,'AEO 2018_Table 6'!$C$104,'AEO 2018_Table 6'!$C$109,'AEO 2018_Table 6'!$C$114)</f>
        <v>116.91680400740441</v>
      </c>
      <c r="L32" s="2">
        <f>$B32*SUM('AEO 2018_Table 6'!M$98,'AEO 2018_Table 6'!M$102,'AEO 2018_Table 6'!M$103,'AEO 2018_Table 6'!M$104,'AEO 2018_Table 6'!M$109,'AEO 2018_Table 6'!M$114)/SUM('AEO 2018_Table 6'!$C$98,'AEO 2018_Table 6'!$C$102,'AEO 2018_Table 6'!$C$103,'AEO 2018_Table 6'!$C$104,'AEO 2018_Table 6'!$C$109,'AEO 2018_Table 6'!$C$114)</f>
        <v>117.94284775441507</v>
      </c>
      <c r="M32" s="2">
        <f>$B32*SUM('AEO 2018_Table 6'!N$98,'AEO 2018_Table 6'!N$102,'AEO 2018_Table 6'!N$103,'AEO 2018_Table 6'!N$104,'AEO 2018_Table 6'!N$109,'AEO 2018_Table 6'!N$114)/SUM('AEO 2018_Table 6'!$C$98,'AEO 2018_Table 6'!$C$102,'AEO 2018_Table 6'!$C$103,'AEO 2018_Table 6'!$C$104,'AEO 2018_Table 6'!$C$109,'AEO 2018_Table 6'!$C$114)</f>
        <v>119.70223116326451</v>
      </c>
      <c r="N32" s="2">
        <f>$B32*SUM('AEO 2018_Table 6'!O$98,'AEO 2018_Table 6'!O$102,'AEO 2018_Table 6'!O$103,'AEO 2018_Table 6'!O$104,'AEO 2018_Table 6'!O$109,'AEO 2018_Table 6'!O$114)/SUM('AEO 2018_Table 6'!$C$98,'AEO 2018_Table 6'!$C$102,'AEO 2018_Table 6'!$C$103,'AEO 2018_Table 6'!$C$104,'AEO 2018_Table 6'!$C$109,'AEO 2018_Table 6'!$C$114)</f>
        <v>121.70377629220172</v>
      </c>
      <c r="O32" s="2">
        <f>$B32*SUM('AEO 2018_Table 6'!P$98,'AEO 2018_Table 6'!P$102,'AEO 2018_Table 6'!P$103,'AEO 2018_Table 6'!P$104,'AEO 2018_Table 6'!P$109,'AEO 2018_Table 6'!P$114)/SUM('AEO 2018_Table 6'!$C$98,'AEO 2018_Table 6'!$C$102,'AEO 2018_Table 6'!$C$103,'AEO 2018_Table 6'!$C$104,'AEO 2018_Table 6'!$C$109,'AEO 2018_Table 6'!$C$114)</f>
        <v>123.30504613115346</v>
      </c>
      <c r="P32" s="2">
        <f>$B32*SUM('AEO 2018_Table 6'!Q$98,'AEO 2018_Table 6'!Q$102,'AEO 2018_Table 6'!Q$103,'AEO 2018_Table 6'!Q$104,'AEO 2018_Table 6'!Q$109,'AEO 2018_Table 6'!Q$114)/SUM('AEO 2018_Table 6'!$C$98,'AEO 2018_Table 6'!$C$102,'AEO 2018_Table 6'!$C$103,'AEO 2018_Table 6'!$C$104,'AEO 2018_Table 6'!$C$109,'AEO 2018_Table 6'!$C$114)</f>
        <v>125.10399243500204</v>
      </c>
      <c r="Q32" s="2">
        <f>$B32*SUM('AEO 2018_Table 6'!R$98,'AEO 2018_Table 6'!R$102,'AEO 2018_Table 6'!R$103,'AEO 2018_Table 6'!R$104,'AEO 2018_Table 6'!R$109,'AEO 2018_Table 6'!R$114)/SUM('AEO 2018_Table 6'!$C$98,'AEO 2018_Table 6'!$C$102,'AEO 2018_Table 6'!$C$103,'AEO 2018_Table 6'!$C$104,'AEO 2018_Table 6'!$C$109,'AEO 2018_Table 6'!$C$114)</f>
        <v>126.98413468033141</v>
      </c>
      <c r="R32" s="2">
        <f>$B32*SUM('AEO 2018_Table 6'!S$98,'AEO 2018_Table 6'!S$102,'AEO 2018_Table 6'!S$103,'AEO 2018_Table 6'!S$104,'AEO 2018_Table 6'!S$109,'AEO 2018_Table 6'!S$114)/SUM('AEO 2018_Table 6'!$C$98,'AEO 2018_Table 6'!$C$102,'AEO 2018_Table 6'!$C$103,'AEO 2018_Table 6'!$C$104,'AEO 2018_Table 6'!$C$109,'AEO 2018_Table 6'!$C$114)</f>
        <v>128.1737510633715</v>
      </c>
      <c r="S32" s="2">
        <f>$B32*SUM('AEO 2018_Table 6'!T$98,'AEO 2018_Table 6'!T$102,'AEO 2018_Table 6'!T$103,'AEO 2018_Table 6'!T$104,'AEO 2018_Table 6'!T$109,'AEO 2018_Table 6'!T$114)/SUM('AEO 2018_Table 6'!$C$98,'AEO 2018_Table 6'!$C$102,'AEO 2018_Table 6'!$C$103,'AEO 2018_Table 6'!$C$104,'AEO 2018_Table 6'!$C$109,'AEO 2018_Table 6'!$C$114)</f>
        <v>129.73982832712051</v>
      </c>
      <c r="T32" s="2">
        <f>$B32*SUM('AEO 2018_Table 6'!U$98,'AEO 2018_Table 6'!U$102,'AEO 2018_Table 6'!U$103,'AEO 2018_Table 6'!U$104,'AEO 2018_Table 6'!U$109,'AEO 2018_Table 6'!U$114)/SUM('AEO 2018_Table 6'!$C$98,'AEO 2018_Table 6'!$C$102,'AEO 2018_Table 6'!$C$103,'AEO 2018_Table 6'!$C$104,'AEO 2018_Table 6'!$C$109,'AEO 2018_Table 6'!$C$114)</f>
        <v>130.68016780275516</v>
      </c>
      <c r="U32" s="2">
        <f>$B32*SUM('AEO 2018_Table 6'!V$98,'AEO 2018_Table 6'!V$102,'AEO 2018_Table 6'!V$103,'AEO 2018_Table 6'!V$104,'AEO 2018_Table 6'!V$109,'AEO 2018_Table 6'!V$114)/SUM('AEO 2018_Table 6'!$C$98,'AEO 2018_Table 6'!$C$102,'AEO 2018_Table 6'!$C$103,'AEO 2018_Table 6'!$C$104,'AEO 2018_Table 6'!$C$109,'AEO 2018_Table 6'!$C$114)</f>
        <v>131.60147721920606</v>
      </c>
      <c r="V32" s="2">
        <f>$B32*SUM('AEO 2018_Table 6'!W$98,'AEO 2018_Table 6'!W$102,'AEO 2018_Table 6'!W$103,'AEO 2018_Table 6'!W$104,'AEO 2018_Table 6'!W$109,'AEO 2018_Table 6'!W$114)/SUM('AEO 2018_Table 6'!$C$98,'AEO 2018_Table 6'!$C$102,'AEO 2018_Table 6'!$C$103,'AEO 2018_Table 6'!$C$104,'AEO 2018_Table 6'!$C$109,'AEO 2018_Table 6'!$C$114)</f>
        <v>132.41992310865928</v>
      </c>
      <c r="W32" s="2">
        <f>$B32*SUM('AEO 2018_Table 6'!X$98,'AEO 2018_Table 6'!X$102,'AEO 2018_Table 6'!X$103,'AEO 2018_Table 6'!X$104,'AEO 2018_Table 6'!X$109,'AEO 2018_Table 6'!X$114)/SUM('AEO 2018_Table 6'!$C$98,'AEO 2018_Table 6'!$C$102,'AEO 2018_Table 6'!$C$103,'AEO 2018_Table 6'!$C$104,'AEO 2018_Table 6'!$C$109,'AEO 2018_Table 6'!$C$114)</f>
        <v>133.92664069545413</v>
      </c>
      <c r="X32" s="2">
        <f>$B32*SUM('AEO 2018_Table 6'!Y$98,'AEO 2018_Table 6'!Y$102,'AEO 2018_Table 6'!Y$103,'AEO 2018_Table 6'!Y$104,'AEO 2018_Table 6'!Y$109,'AEO 2018_Table 6'!Y$114)/SUM('AEO 2018_Table 6'!$C$98,'AEO 2018_Table 6'!$C$102,'AEO 2018_Table 6'!$C$103,'AEO 2018_Table 6'!$C$104,'AEO 2018_Table 6'!$C$109,'AEO 2018_Table 6'!$C$114)</f>
        <v>135.9254562913255</v>
      </c>
      <c r="Y32" s="2">
        <f>$B32*SUM('AEO 2018_Table 6'!Z$98,'AEO 2018_Table 6'!Z$102,'AEO 2018_Table 6'!Z$103,'AEO 2018_Table 6'!Z$104,'AEO 2018_Table 6'!Z$109,'AEO 2018_Table 6'!Z$114)/SUM('AEO 2018_Table 6'!$C$98,'AEO 2018_Table 6'!$C$102,'AEO 2018_Table 6'!$C$103,'AEO 2018_Table 6'!$C$104,'AEO 2018_Table 6'!$C$109,'AEO 2018_Table 6'!$C$114)</f>
        <v>136.80369122248473</v>
      </c>
      <c r="Z32" s="2">
        <f>$B32*SUM('AEO 2018_Table 6'!AA$98,'AEO 2018_Table 6'!AA$102,'AEO 2018_Table 6'!AA$103,'AEO 2018_Table 6'!AA$104,'AEO 2018_Table 6'!AA$109,'AEO 2018_Table 6'!AA$114)/SUM('AEO 2018_Table 6'!$C$98,'AEO 2018_Table 6'!$C$102,'AEO 2018_Table 6'!$C$103,'AEO 2018_Table 6'!$C$104,'AEO 2018_Table 6'!$C$109,'AEO 2018_Table 6'!$C$114)</f>
        <v>137.41579667972533</v>
      </c>
      <c r="AA32" s="2">
        <f>$B32*SUM('AEO 2018_Table 6'!AB$98,'AEO 2018_Table 6'!AB$102,'AEO 2018_Table 6'!AB$103,'AEO 2018_Table 6'!AB$104,'AEO 2018_Table 6'!AB$109,'AEO 2018_Table 6'!AB$114)/SUM('AEO 2018_Table 6'!$C$98,'AEO 2018_Table 6'!$C$102,'AEO 2018_Table 6'!$C$103,'AEO 2018_Table 6'!$C$104,'AEO 2018_Table 6'!$C$109,'AEO 2018_Table 6'!$C$114)</f>
        <v>138.17333411222637</v>
      </c>
      <c r="AB32" s="2">
        <f>$B32*SUM('AEO 2018_Table 6'!AC$98,'AEO 2018_Table 6'!AC$102,'AEO 2018_Table 6'!AC$103,'AEO 2018_Table 6'!AC$104,'AEO 2018_Table 6'!AC$109,'AEO 2018_Table 6'!AC$114)/SUM('AEO 2018_Table 6'!$C$98,'AEO 2018_Table 6'!$C$102,'AEO 2018_Table 6'!$C$103,'AEO 2018_Table 6'!$C$104,'AEO 2018_Table 6'!$C$109,'AEO 2018_Table 6'!$C$114)</f>
        <v>138.44498399009836</v>
      </c>
      <c r="AC32" s="2">
        <f>$B32*SUM('AEO 2018_Table 6'!AD$98,'AEO 2018_Table 6'!AD$102,'AEO 2018_Table 6'!AD$103,'AEO 2018_Table 6'!AD$104,'AEO 2018_Table 6'!AD$109,'AEO 2018_Table 6'!AD$114)/SUM('AEO 2018_Table 6'!$C$98,'AEO 2018_Table 6'!$C$102,'AEO 2018_Table 6'!$C$103,'AEO 2018_Table 6'!$C$104,'AEO 2018_Table 6'!$C$109,'AEO 2018_Table 6'!$C$114)</f>
        <v>139.02666588777376</v>
      </c>
      <c r="AD32" s="2">
        <f>$B32*SUM('AEO 2018_Table 6'!AE$98,'AEO 2018_Table 6'!AE$102,'AEO 2018_Table 6'!AE$103,'AEO 2018_Table 6'!AE$104,'AEO 2018_Table 6'!AE$109,'AEO 2018_Table 6'!AE$114)/SUM('AEO 2018_Table 6'!$C$98,'AEO 2018_Table 6'!$C$102,'AEO 2018_Table 6'!$C$103,'AEO 2018_Table 6'!$C$104,'AEO 2018_Table 6'!$C$109,'AEO 2018_Table 6'!$C$114)</f>
        <v>139.53241156217948</v>
      </c>
      <c r="AE32" s="2">
        <f>$B32*SUM('AEO 2018_Table 6'!AF$98,'AEO 2018_Table 6'!AF$102,'AEO 2018_Table 6'!AF$103,'AEO 2018_Table 6'!AF$104,'AEO 2018_Table 6'!AF$109,'AEO 2018_Table 6'!AF$114)/SUM('AEO 2018_Table 6'!$C$98,'AEO 2018_Table 6'!$C$102,'AEO 2018_Table 6'!$C$103,'AEO 2018_Table 6'!$C$104,'AEO 2018_Table 6'!$C$109,'AEO 2018_Table 6'!$C$114)</f>
        <v>140.23040530426118</v>
      </c>
      <c r="AF32" s="2">
        <f>$B32*SUM('AEO 2018_Table 6'!AG$98,'AEO 2018_Table 6'!AG$102,'AEO 2018_Table 6'!AG$103,'AEO 2018_Table 6'!AG$104,'AEO 2018_Table 6'!AG$109,'AEO 2018_Table 6'!AG$114)/SUM('AEO 2018_Table 6'!$C$98,'AEO 2018_Table 6'!$C$102,'AEO 2018_Table 6'!$C$103,'AEO 2018_Table 6'!$C$104,'AEO 2018_Table 6'!$C$109,'AEO 2018_Table 6'!$C$114)</f>
        <v>140.71271993077593</v>
      </c>
      <c r="AG32" s="2">
        <f>$B32*SUM('AEO 2018_Table 6'!AH$98,'AEO 2018_Table 6'!AH$102,'AEO 2018_Table 6'!AH$103,'AEO 2018_Table 6'!AH$104,'AEO 2018_Table 6'!AH$109,'AEO 2018_Table 6'!AH$114)/SUM('AEO 2018_Table 6'!$C$98,'AEO 2018_Table 6'!$C$102,'AEO 2018_Table 6'!$C$103,'AEO 2018_Table 6'!$C$104,'AEO 2018_Table 6'!$C$109,'AEO 2018_Table 6'!$C$114)</f>
        <v>141.37492305389338</v>
      </c>
      <c r="AH32" s="2">
        <f>$B32*SUM('AEO 2018_Table 6'!AI$98,'AEO 2018_Table 6'!AI$102,'AEO 2018_Table 6'!AI$103,'AEO 2018_Table 6'!AI$104,'AEO 2018_Table 6'!AI$109,'AEO 2018_Table 6'!AI$114)/SUM('AEO 2018_Table 6'!$C$98,'AEO 2018_Table 6'!$C$102,'AEO 2018_Table 6'!$C$103,'AEO 2018_Table 6'!$C$104,'AEO 2018_Table 6'!$C$109,'AEO 2018_Table 6'!$C$114)</f>
        <v>142.14609281726811</v>
      </c>
      <c r="AI32" s="2">
        <f>$B32*SUM('AEO 2018_Table 6'!AJ$98,'AEO 2018_Table 6'!AJ$102,'AEO 2018_Table 6'!AJ$103,'AEO 2018_Table 6'!AJ$104,'AEO 2018_Table 6'!AJ$109,'AEO 2018_Table 6'!AJ$114)/SUM('AEO 2018_Table 6'!$C$98,'AEO 2018_Table 6'!$C$102,'AEO 2018_Table 6'!$C$103,'AEO 2018_Table 6'!$C$104,'AEO 2018_Table 6'!$C$109,'AEO 2018_Table 6'!$C$114)</f>
        <v>142.80967604137388</v>
      </c>
      <c r="AJ32" s="2">
        <f>$B32*SUM('AEO 2018_Table 6'!AK$98,'AEO 2018_Table 6'!AK$102,'AEO 2018_Table 6'!AK$103,'AEO 2018_Table 6'!AK$104,'AEO 2018_Table 6'!AK$109,'AEO 2018_Table 6'!AK$114)/SUM('AEO 2018_Table 6'!$C$98,'AEO 2018_Table 6'!$C$102,'AEO 2018_Table 6'!$C$103,'AEO 2018_Table 6'!$C$104,'AEO 2018_Table 6'!$C$109,'AEO 2018_Table 6'!$C$114)</f>
        <v>143.47858032151248</v>
      </c>
    </row>
    <row r="33" spans="1:7" x14ac:dyDescent="0.25">
      <c r="A33" s="143"/>
    </row>
    <row r="34" spans="1:7" x14ac:dyDescent="0.25">
      <c r="A34" s="143"/>
      <c r="G34" s="1"/>
    </row>
    <row r="35" spans="1:7" x14ac:dyDescent="0.25">
      <c r="A35" s="143"/>
      <c r="G35" s="1"/>
    </row>
    <row r="36" spans="1:7" x14ac:dyDescent="0.25">
      <c r="A36" s="143"/>
      <c r="G36" s="1"/>
    </row>
    <row r="37" spans="1:7" x14ac:dyDescent="0.25">
      <c r="A37" s="143"/>
      <c r="G37" s="1"/>
    </row>
    <row r="38" spans="1:7" x14ac:dyDescent="0.25">
      <c r="A38" s="143"/>
      <c r="G38" s="1"/>
    </row>
    <row r="39" spans="1:7" x14ac:dyDescent="0.25">
      <c r="A39" s="143"/>
      <c r="G39" s="1"/>
    </row>
    <row r="40" spans="1:7" x14ac:dyDescent="0.25">
      <c r="A40" s="143"/>
      <c r="G40" s="1"/>
    </row>
    <row r="41" spans="1:7" x14ac:dyDescent="0.25">
      <c r="A41" s="143"/>
      <c r="G41" s="1"/>
    </row>
    <row r="42" spans="1:7" x14ac:dyDescent="0.25">
      <c r="A42" s="143"/>
      <c r="G42" s="1"/>
    </row>
    <row r="43" spans="1:7" x14ac:dyDescent="0.25">
      <c r="A43" s="143"/>
      <c r="G43" s="1"/>
    </row>
    <row r="44" spans="1:7" x14ac:dyDescent="0.25">
      <c r="A44" s="143"/>
      <c r="G44" s="1"/>
    </row>
    <row r="45" spans="1:7" x14ac:dyDescent="0.25">
      <c r="A45" s="143"/>
      <c r="G45" s="1"/>
    </row>
    <row r="46" spans="1:7" x14ac:dyDescent="0.25">
      <c r="A46" s="143"/>
      <c r="G46" s="1"/>
    </row>
    <row r="48" spans="1:7" x14ac:dyDescent="0.25">
      <c r="G48" s="1"/>
    </row>
    <row r="49" spans="7:7" x14ac:dyDescent="0.25">
      <c r="G49" s="1"/>
    </row>
    <row r="50" spans="7:7" x14ac:dyDescent="0.25">
      <c r="G50" s="1"/>
    </row>
    <row r="51" spans="7:7" x14ac:dyDescent="0.25">
      <c r="G51" s="1"/>
    </row>
    <row r="52" spans="7:7" x14ac:dyDescent="0.25">
      <c r="G52" s="1"/>
    </row>
    <row r="53" spans="7:7" x14ac:dyDescent="0.25">
      <c r="G53" s="1"/>
    </row>
    <row r="54" spans="7:7" x14ac:dyDescent="0.25">
      <c r="G54" s="1"/>
    </row>
    <row r="55" spans="7:7" x14ac:dyDescent="0.25">
      <c r="G55" s="1"/>
    </row>
    <row r="56" spans="7:7" x14ac:dyDescent="0.25">
      <c r="G56" s="1"/>
    </row>
    <row r="61" spans="7:7" x14ac:dyDescent="0.25">
      <c r="G61" s="1"/>
    </row>
    <row r="62" spans="7:7" x14ac:dyDescent="0.25">
      <c r="G62" s="1"/>
    </row>
    <row r="63" spans="7:7" x14ac:dyDescent="0.25">
      <c r="G63" s="1"/>
    </row>
    <row r="64" spans="7:7" x14ac:dyDescent="0.25">
      <c r="G64" s="1"/>
    </row>
    <row r="65" spans="7:7" x14ac:dyDescent="0.25">
      <c r="G65" s="1"/>
    </row>
    <row r="66" spans="7:7" x14ac:dyDescent="0.25">
      <c r="G66" s="1"/>
    </row>
    <row r="68" spans="7:7" x14ac:dyDescent="0.25">
      <c r="G68" s="1"/>
    </row>
    <row r="72" spans="7:7" x14ac:dyDescent="0.25">
      <c r="G72" s="1"/>
    </row>
    <row r="73" spans="7:7" x14ac:dyDescent="0.25">
      <c r="G73" s="1"/>
    </row>
    <row r="74" spans="7:7" x14ac:dyDescent="0.25">
      <c r="G74" s="1"/>
    </row>
    <row r="75" spans="7:7" x14ac:dyDescent="0.25">
      <c r="G75" s="1"/>
    </row>
    <row r="76" spans="7:7" x14ac:dyDescent="0.25">
      <c r="G76" s="1"/>
    </row>
    <row r="78" spans="7:7" x14ac:dyDescent="0.25">
      <c r="G78" s="1"/>
    </row>
    <row r="79" spans="7:7" x14ac:dyDescent="0.25">
      <c r="G79" s="1"/>
    </row>
    <row r="80" spans="7:7" x14ac:dyDescent="0.25">
      <c r="G80" s="1"/>
    </row>
    <row r="81" spans="7:7" x14ac:dyDescent="0.25">
      <c r="G81" s="1"/>
    </row>
    <row r="82" spans="7:7" x14ac:dyDescent="0.25">
      <c r="G82" s="1"/>
    </row>
    <row r="83" spans="7:7" x14ac:dyDescent="0.25">
      <c r="G83" s="1"/>
    </row>
    <row r="84" spans="7:7" x14ac:dyDescent="0.25">
      <c r="G84" s="1"/>
    </row>
    <row r="85" spans="7:7" x14ac:dyDescent="0.25">
      <c r="G85" s="1"/>
    </row>
    <row r="86" spans="7:7" x14ac:dyDescent="0.25">
      <c r="G86" s="1"/>
    </row>
    <row r="87" spans="7:7" x14ac:dyDescent="0.25">
      <c r="G87" s="1"/>
    </row>
    <row r="88" spans="7:7" x14ac:dyDescent="0.25">
      <c r="G88" s="1"/>
    </row>
    <row r="89" spans="7:7" x14ac:dyDescent="0.25">
      <c r="G89" s="1"/>
    </row>
    <row r="90" spans="7:7" x14ac:dyDescent="0.25">
      <c r="G90" s="1"/>
    </row>
    <row r="92" spans="7:7" x14ac:dyDescent="0.25">
      <c r="G92" s="1"/>
    </row>
    <row r="94" spans="7:7" x14ac:dyDescent="0.25">
      <c r="G94" s="1"/>
    </row>
    <row r="95" spans="7:7" x14ac:dyDescent="0.25">
      <c r="G95" s="1"/>
    </row>
    <row r="96" spans="7:7" x14ac:dyDescent="0.25">
      <c r="G96" s="1"/>
    </row>
    <row r="98" spans="7:7" x14ac:dyDescent="0.25">
      <c r="G98" s="1"/>
    </row>
    <row r="99" spans="7:7" x14ac:dyDescent="0.25">
      <c r="G99" s="1"/>
    </row>
    <row r="100" spans="7:7" x14ac:dyDescent="0.25">
      <c r="G100" s="1"/>
    </row>
    <row r="101" spans="7:7" x14ac:dyDescent="0.25">
      <c r="G101" s="1"/>
    </row>
    <row r="102" spans="7:7" x14ac:dyDescent="0.25">
      <c r="G102" s="1"/>
    </row>
    <row r="103" spans="7:7" x14ac:dyDescent="0.25">
      <c r="G103" s="1"/>
    </row>
    <row r="104" spans="7:7" x14ac:dyDescent="0.25">
      <c r="G104" s="1"/>
    </row>
    <row r="107" spans="7:7" x14ac:dyDescent="0.25">
      <c r="G107" s="1"/>
    </row>
    <row r="108" spans="7:7" x14ac:dyDescent="0.25">
      <c r="G108" s="1"/>
    </row>
    <row r="109" spans="7:7" x14ac:dyDescent="0.25">
      <c r="G109" s="1"/>
    </row>
    <row r="110" spans="7:7" x14ac:dyDescent="0.25">
      <c r="G110" s="1"/>
    </row>
    <row r="111" spans="7:7" x14ac:dyDescent="0.25">
      <c r="G111" s="1"/>
    </row>
    <row r="112" spans="7:7" x14ac:dyDescent="0.25">
      <c r="G112" s="1"/>
    </row>
    <row r="113" spans="7:7" x14ac:dyDescent="0.25">
      <c r="G113" s="1"/>
    </row>
    <row r="114" spans="7:7" x14ac:dyDescent="0.25">
      <c r="G114" s="1"/>
    </row>
    <row r="115" spans="7:7" x14ac:dyDescent="0.25">
      <c r="G115" s="1"/>
    </row>
    <row r="116" spans="7:7" x14ac:dyDescent="0.25">
      <c r="G116" s="1"/>
    </row>
    <row r="117" spans="7:7" x14ac:dyDescent="0.25">
      <c r="G117" s="1"/>
    </row>
    <row r="118" spans="7:7" x14ac:dyDescent="0.25">
      <c r="G118" s="1"/>
    </row>
    <row r="119" spans="7:7" x14ac:dyDescent="0.25">
      <c r="G119" s="1"/>
    </row>
    <row r="121" spans="7:7" x14ac:dyDescent="0.25">
      <c r="G121" s="1"/>
    </row>
    <row r="123" spans="7:7" x14ac:dyDescent="0.25">
      <c r="G123" s="1"/>
    </row>
    <row r="124" spans="7:7" x14ac:dyDescent="0.25">
      <c r="G124" s="1"/>
    </row>
    <row r="125" spans="7:7" x14ac:dyDescent="0.25">
      <c r="G125" s="1"/>
    </row>
    <row r="127" spans="7:7" x14ac:dyDescent="0.25">
      <c r="G127" s="1"/>
    </row>
    <row r="128" spans="7:7" x14ac:dyDescent="0.25">
      <c r="G128" s="1"/>
    </row>
    <row r="129" spans="7:7" x14ac:dyDescent="0.25">
      <c r="G129" s="1"/>
    </row>
    <row r="130" spans="7:7" x14ac:dyDescent="0.25">
      <c r="G130" s="1"/>
    </row>
    <row r="131" spans="7:7" x14ac:dyDescent="0.25">
      <c r="G131" s="1"/>
    </row>
    <row r="132" spans="7:7" x14ac:dyDescent="0.25">
      <c r="G132" s="1"/>
    </row>
    <row r="133" spans="7:7" x14ac:dyDescent="0.25">
      <c r="G133" s="1"/>
    </row>
    <row r="135" spans="7:7" x14ac:dyDescent="0.25">
      <c r="G135" s="1"/>
    </row>
    <row r="136" spans="7:7" x14ac:dyDescent="0.25">
      <c r="G136" s="1"/>
    </row>
  </sheetData>
  <mergeCells count="1">
    <mergeCell ref="A27:H27"/>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tint="0.79998168889431442"/>
  </sheetPr>
  <dimension ref="A1:AL114"/>
  <sheetViews>
    <sheetView topLeftCell="B7" workbookViewId="0">
      <selection activeCell="E34" sqref="E34"/>
    </sheetView>
  </sheetViews>
  <sheetFormatPr defaultRowHeight="15" x14ac:dyDescent="0.25"/>
  <cols>
    <col min="1" max="1" width="20.85546875" hidden="1" customWidth="1"/>
    <col min="2" max="2" width="45.7109375" customWidth="1"/>
    <col min="38" max="38" width="8"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7" spans="1:38" ht="15" customHeight="1" x14ac:dyDescent="0.25"/>
    <row r="8" spans="1:38" ht="15" customHeight="1" x14ac:dyDescent="0.25"/>
    <row r="9" spans="1:38" ht="15" customHeight="1" x14ac:dyDescent="0.25"/>
    <row r="10" spans="1:38" ht="15" customHeight="1" x14ac:dyDescent="0.25">
      <c r="A10" s="7" t="s">
        <v>329</v>
      </c>
      <c r="B10" s="8" t="s">
        <v>330</v>
      </c>
    </row>
    <row r="11" spans="1:38" ht="15" customHeight="1" x14ac:dyDescent="0.25">
      <c r="B11" s="4" t="s">
        <v>331</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332</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B15" s="10" t="s">
        <v>333</v>
      </c>
    </row>
    <row r="16" spans="1:38" ht="15" customHeight="1" x14ac:dyDescent="0.25">
      <c r="A16" s="7" t="s">
        <v>334</v>
      </c>
      <c r="B16" s="11" t="s">
        <v>335</v>
      </c>
      <c r="C16" s="16">
        <v>8.9039999999999999</v>
      </c>
      <c r="D16" s="16">
        <v>9.2425379999999997</v>
      </c>
      <c r="E16" s="16">
        <v>9.9456209999999992</v>
      </c>
      <c r="F16" s="16">
        <v>10.436546999999999</v>
      </c>
      <c r="G16" s="16">
        <v>10.702318999999999</v>
      </c>
      <c r="H16" s="16">
        <v>10.975550999999999</v>
      </c>
      <c r="I16" s="16">
        <v>11.109958000000001</v>
      </c>
      <c r="J16" s="16">
        <v>11.133734</v>
      </c>
      <c r="K16" s="16">
        <v>11.355736</v>
      </c>
      <c r="L16" s="16">
        <v>11.380929999999999</v>
      </c>
      <c r="M16" s="16">
        <v>11.442159</v>
      </c>
      <c r="N16" s="16">
        <v>11.546096</v>
      </c>
      <c r="O16" s="16">
        <v>11.609978999999999</v>
      </c>
      <c r="P16" s="16">
        <v>11.666207999999999</v>
      </c>
      <c r="Q16" s="16">
        <v>11.695518</v>
      </c>
      <c r="R16" s="16">
        <v>11.814215000000001</v>
      </c>
      <c r="S16" s="16">
        <v>11.81466</v>
      </c>
      <c r="T16" s="16">
        <v>11.793523</v>
      </c>
      <c r="U16" s="16">
        <v>11.871364</v>
      </c>
      <c r="V16" s="16">
        <v>11.851864000000001</v>
      </c>
      <c r="W16" s="16">
        <v>11.824665</v>
      </c>
      <c r="X16" s="16">
        <v>11.902457999999999</v>
      </c>
      <c r="Y16" s="16">
        <v>11.765200999999999</v>
      </c>
      <c r="Z16" s="16">
        <v>11.801043999999999</v>
      </c>
      <c r="AA16" s="16">
        <v>11.898536999999999</v>
      </c>
      <c r="AB16" s="16">
        <v>11.939322000000001</v>
      </c>
      <c r="AC16" s="16">
        <v>11.945944000000001</v>
      </c>
      <c r="AD16" s="16">
        <v>11.908939999999999</v>
      </c>
      <c r="AE16" s="16">
        <v>11.82606</v>
      </c>
      <c r="AF16" s="16">
        <v>11.614794</v>
      </c>
      <c r="AG16" s="16">
        <v>11.538904</v>
      </c>
      <c r="AH16" s="16">
        <v>11.525503</v>
      </c>
      <c r="AI16" s="16">
        <v>11.398985</v>
      </c>
      <c r="AJ16" s="16">
        <v>11.333145</v>
      </c>
      <c r="AK16" s="16">
        <v>11.300848</v>
      </c>
      <c r="AL16" s="13">
        <v>6.1110000000000001E-3</v>
      </c>
    </row>
    <row r="17" spans="1:38" ht="15" customHeight="1" x14ac:dyDescent="0.25">
      <c r="A17" s="7" t="s">
        <v>336</v>
      </c>
      <c r="B17" s="11" t="s">
        <v>337</v>
      </c>
      <c r="C17" s="16">
        <v>0.48899999999999999</v>
      </c>
      <c r="D17" s="16">
        <v>0.48497699999999999</v>
      </c>
      <c r="E17" s="16">
        <v>0.47752099999999997</v>
      </c>
      <c r="F17" s="16">
        <v>0.47399999999999998</v>
      </c>
      <c r="G17" s="16">
        <v>0.43073499999999998</v>
      </c>
      <c r="H17" s="16">
        <v>0.48686099999999999</v>
      </c>
      <c r="I17" s="16">
        <v>0.52370300000000003</v>
      </c>
      <c r="J17" s="16">
        <v>0.53077700000000005</v>
      </c>
      <c r="K17" s="16">
        <v>0.53610000000000002</v>
      </c>
      <c r="L17" s="16">
        <v>0.54208199999999995</v>
      </c>
      <c r="M17" s="16">
        <v>0.62456199999999995</v>
      </c>
      <c r="N17" s="16">
        <v>0.63189399999999996</v>
      </c>
      <c r="O17" s="16">
        <v>0.618058</v>
      </c>
      <c r="P17" s="16">
        <v>0.60113799999999995</v>
      </c>
      <c r="Q17" s="16">
        <v>0.59563999999999995</v>
      </c>
      <c r="R17" s="16">
        <v>0.59596300000000002</v>
      </c>
      <c r="S17" s="16">
        <v>0.59366799999999997</v>
      </c>
      <c r="T17" s="16">
        <v>0.58035099999999995</v>
      </c>
      <c r="U17" s="16">
        <v>0.56818199999999996</v>
      </c>
      <c r="V17" s="16">
        <v>0.55209200000000003</v>
      </c>
      <c r="W17" s="16">
        <v>0.53749000000000002</v>
      </c>
      <c r="X17" s="16">
        <v>0.524204</v>
      </c>
      <c r="Y17" s="16">
        <v>0.51208399999999998</v>
      </c>
      <c r="Z17" s="16">
        <v>0.50100199999999995</v>
      </c>
      <c r="AA17" s="16">
        <v>0.51550099999999999</v>
      </c>
      <c r="AB17" s="16">
        <v>0.53082399999999996</v>
      </c>
      <c r="AC17" s="16">
        <v>0.52217899999999995</v>
      </c>
      <c r="AD17" s="16">
        <v>0.50196499999999999</v>
      </c>
      <c r="AE17" s="16">
        <v>0.45900000000000002</v>
      </c>
      <c r="AF17" s="16">
        <v>0.42421799999999998</v>
      </c>
      <c r="AG17" s="16">
        <v>0.39136300000000002</v>
      </c>
      <c r="AH17" s="16">
        <v>0.364728</v>
      </c>
      <c r="AI17" s="16">
        <v>0.34342499999999998</v>
      </c>
      <c r="AJ17" s="16">
        <v>0.32218200000000002</v>
      </c>
      <c r="AK17" s="16">
        <v>0.29630600000000001</v>
      </c>
      <c r="AL17" s="13">
        <v>-1.482E-2</v>
      </c>
    </row>
    <row r="18" spans="1:38" ht="15" customHeight="1" x14ac:dyDescent="0.25">
      <c r="A18" s="7" t="s">
        <v>338</v>
      </c>
      <c r="B18" s="11" t="s">
        <v>339</v>
      </c>
      <c r="C18" s="16">
        <v>8.4149999999999991</v>
      </c>
      <c r="D18" s="16">
        <v>8.7575610000000008</v>
      </c>
      <c r="E18" s="16">
        <v>9.4680990000000005</v>
      </c>
      <c r="F18" s="16">
        <v>9.9625470000000007</v>
      </c>
      <c r="G18" s="16">
        <v>10.271585</v>
      </c>
      <c r="H18" s="16">
        <v>10.48869</v>
      </c>
      <c r="I18" s="16">
        <v>10.586254</v>
      </c>
      <c r="J18" s="16">
        <v>10.602957</v>
      </c>
      <c r="K18" s="16">
        <v>10.819635</v>
      </c>
      <c r="L18" s="16">
        <v>10.838848</v>
      </c>
      <c r="M18" s="16">
        <v>10.817596999999999</v>
      </c>
      <c r="N18" s="16">
        <v>10.914202</v>
      </c>
      <c r="O18" s="16">
        <v>10.991921</v>
      </c>
      <c r="P18" s="16">
        <v>11.06507</v>
      </c>
      <c r="Q18" s="16">
        <v>11.099878</v>
      </c>
      <c r="R18" s="16">
        <v>11.218252</v>
      </c>
      <c r="S18" s="16">
        <v>11.220992000000001</v>
      </c>
      <c r="T18" s="16">
        <v>11.213171000000001</v>
      </c>
      <c r="U18" s="16">
        <v>11.303183000000001</v>
      </c>
      <c r="V18" s="16">
        <v>11.299771</v>
      </c>
      <c r="W18" s="16">
        <v>11.287176000000001</v>
      </c>
      <c r="X18" s="16">
        <v>11.378254999999999</v>
      </c>
      <c r="Y18" s="16">
        <v>11.253117</v>
      </c>
      <c r="Z18" s="16">
        <v>11.300041999999999</v>
      </c>
      <c r="AA18" s="16">
        <v>11.383036000000001</v>
      </c>
      <c r="AB18" s="16">
        <v>11.408498</v>
      </c>
      <c r="AC18" s="16">
        <v>11.423765</v>
      </c>
      <c r="AD18" s="16">
        <v>11.406976</v>
      </c>
      <c r="AE18" s="16">
        <v>11.367061</v>
      </c>
      <c r="AF18" s="16">
        <v>11.190575000000001</v>
      </c>
      <c r="AG18" s="16">
        <v>11.147541</v>
      </c>
      <c r="AH18" s="16">
        <v>11.160774999999999</v>
      </c>
      <c r="AI18" s="16">
        <v>11.05556</v>
      </c>
      <c r="AJ18" s="16">
        <v>11.010963</v>
      </c>
      <c r="AK18" s="16">
        <v>11.004542000000001</v>
      </c>
      <c r="AL18" s="13">
        <v>6.9449999999999998E-3</v>
      </c>
    </row>
    <row r="19" spans="1:38" ht="15" customHeight="1" x14ac:dyDescent="0.25">
      <c r="A19" s="7" t="s">
        <v>340</v>
      </c>
      <c r="B19" s="11" t="s">
        <v>341</v>
      </c>
      <c r="C19" s="16">
        <v>7.26</v>
      </c>
      <c r="D19" s="16">
        <v>6.85</v>
      </c>
      <c r="E19" s="16">
        <v>6.4279999999999999</v>
      </c>
      <c r="F19" s="16">
        <v>6.5043740000000003</v>
      </c>
      <c r="G19" s="16">
        <v>7.0409139999999999</v>
      </c>
      <c r="H19" s="16">
        <v>6.7473549999999998</v>
      </c>
      <c r="I19" s="16">
        <v>6.5686080000000002</v>
      </c>
      <c r="J19" s="16">
        <v>6.4749600000000003</v>
      </c>
      <c r="K19" s="16">
        <v>6.1179389999999998</v>
      </c>
      <c r="L19" s="16">
        <v>6.002713</v>
      </c>
      <c r="M19" s="16">
        <v>5.6663500000000004</v>
      </c>
      <c r="N19" s="16">
        <v>5.529147</v>
      </c>
      <c r="O19" s="16">
        <v>5.4443580000000003</v>
      </c>
      <c r="P19" s="16">
        <v>5.466342</v>
      </c>
      <c r="Q19" s="16">
        <v>5.4448990000000004</v>
      </c>
      <c r="R19" s="16">
        <v>5.4471080000000001</v>
      </c>
      <c r="S19" s="16">
        <v>5.4500869999999999</v>
      </c>
      <c r="T19" s="16">
        <v>5.4919440000000002</v>
      </c>
      <c r="U19" s="16">
        <v>5.4337960000000001</v>
      </c>
      <c r="V19" s="16">
        <v>5.5763400000000001</v>
      </c>
      <c r="W19" s="16">
        <v>5.6105489999999998</v>
      </c>
      <c r="X19" s="16">
        <v>5.5261339999999999</v>
      </c>
      <c r="Y19" s="16">
        <v>5.736815</v>
      </c>
      <c r="Z19" s="16">
        <v>5.7739010000000004</v>
      </c>
      <c r="AA19" s="16">
        <v>5.6947900000000002</v>
      </c>
      <c r="AB19" s="16">
        <v>5.6424099999999999</v>
      </c>
      <c r="AC19" s="16">
        <v>5.5752490000000003</v>
      </c>
      <c r="AD19" s="16">
        <v>5.6110100000000003</v>
      </c>
      <c r="AE19" s="16">
        <v>5.5808949999999999</v>
      </c>
      <c r="AF19" s="16">
        <v>5.7016840000000002</v>
      </c>
      <c r="AG19" s="16">
        <v>5.7135249999999997</v>
      </c>
      <c r="AH19" s="16">
        <v>5.7247719999999997</v>
      </c>
      <c r="AI19" s="16">
        <v>5.8605359999999997</v>
      </c>
      <c r="AJ19" s="16">
        <v>5.8750660000000003</v>
      </c>
      <c r="AK19" s="16">
        <v>5.9077849999999996</v>
      </c>
      <c r="AL19" s="13">
        <v>-4.4739999999999997E-3</v>
      </c>
    </row>
    <row r="20" spans="1:38" ht="15" customHeight="1" x14ac:dyDescent="0.25">
      <c r="A20" s="7" t="s">
        <v>342</v>
      </c>
      <c r="B20" s="11" t="s">
        <v>343</v>
      </c>
      <c r="C20" s="16">
        <v>7.85</v>
      </c>
      <c r="D20" s="16">
        <v>7.8179999999999996</v>
      </c>
      <c r="E20" s="16">
        <v>7.3959999999999999</v>
      </c>
      <c r="F20" s="16">
        <v>7.4738530000000001</v>
      </c>
      <c r="G20" s="16">
        <v>7.7909139999999999</v>
      </c>
      <c r="H20" s="16">
        <v>7.4987760000000003</v>
      </c>
      <c r="I20" s="16">
        <v>7.3200010000000004</v>
      </c>
      <c r="J20" s="16">
        <v>7.2930200000000003</v>
      </c>
      <c r="K20" s="16">
        <v>7.0355410000000003</v>
      </c>
      <c r="L20" s="16">
        <v>6.9357160000000002</v>
      </c>
      <c r="M20" s="16">
        <v>6.733657</v>
      </c>
      <c r="N20" s="16">
        <v>6.6528090000000004</v>
      </c>
      <c r="O20" s="16">
        <v>6.6248709999999997</v>
      </c>
      <c r="P20" s="16">
        <v>6.5848209999999998</v>
      </c>
      <c r="Q20" s="16">
        <v>6.5974409999999999</v>
      </c>
      <c r="R20" s="16">
        <v>6.6300489999999996</v>
      </c>
      <c r="S20" s="16">
        <v>6.6093219999999997</v>
      </c>
      <c r="T20" s="16">
        <v>6.6636730000000002</v>
      </c>
      <c r="U20" s="16">
        <v>6.7018959999999996</v>
      </c>
      <c r="V20" s="16">
        <v>6.8158349999999999</v>
      </c>
      <c r="W20" s="16">
        <v>6.8559580000000002</v>
      </c>
      <c r="X20" s="16">
        <v>6.6326140000000002</v>
      </c>
      <c r="Y20" s="16">
        <v>6.8492990000000002</v>
      </c>
      <c r="Z20" s="16">
        <v>6.9071350000000002</v>
      </c>
      <c r="AA20" s="16">
        <v>6.8278999999999996</v>
      </c>
      <c r="AB20" s="16">
        <v>6.7501480000000003</v>
      </c>
      <c r="AC20" s="16">
        <v>6.6975959999999999</v>
      </c>
      <c r="AD20" s="16">
        <v>6.7388479999999999</v>
      </c>
      <c r="AE20" s="16">
        <v>6.6984250000000003</v>
      </c>
      <c r="AF20" s="16">
        <v>6.8411330000000001</v>
      </c>
      <c r="AG20" s="16">
        <v>6.8999360000000003</v>
      </c>
      <c r="AH20" s="16">
        <v>6.9003480000000001</v>
      </c>
      <c r="AI20" s="16">
        <v>7.0412340000000002</v>
      </c>
      <c r="AJ20" s="16">
        <v>7.0135719999999999</v>
      </c>
      <c r="AK20" s="16">
        <v>7.060111</v>
      </c>
      <c r="AL20" s="13">
        <v>-3.0850000000000001E-3</v>
      </c>
    </row>
    <row r="21" spans="1:38" ht="15" customHeight="1" x14ac:dyDescent="0.25">
      <c r="A21" s="7" t="s">
        <v>344</v>
      </c>
      <c r="B21" s="11" t="s">
        <v>345</v>
      </c>
      <c r="C21" s="16">
        <v>0.59</v>
      </c>
      <c r="D21" s="16">
        <v>0.96799999999999997</v>
      </c>
      <c r="E21" s="16">
        <v>0.96799999999999997</v>
      </c>
      <c r="F21" s="16">
        <v>0.96947899999999998</v>
      </c>
      <c r="G21" s="16">
        <v>0.75</v>
      </c>
      <c r="H21" s="16">
        <v>0.75141999999999998</v>
      </c>
      <c r="I21" s="16">
        <v>0.75139199999999995</v>
      </c>
      <c r="J21" s="16">
        <v>0.81806000000000001</v>
      </c>
      <c r="K21" s="16">
        <v>0.91760200000000003</v>
      </c>
      <c r="L21" s="16">
        <v>0.93300300000000003</v>
      </c>
      <c r="M21" s="16">
        <v>1.0673060000000001</v>
      </c>
      <c r="N21" s="16">
        <v>1.1236619999999999</v>
      </c>
      <c r="O21" s="16">
        <v>1.180512</v>
      </c>
      <c r="P21" s="16">
        <v>1.1184780000000001</v>
      </c>
      <c r="Q21" s="16">
        <v>1.152542</v>
      </c>
      <c r="R21" s="16">
        <v>1.182941</v>
      </c>
      <c r="S21" s="16">
        <v>1.159235</v>
      </c>
      <c r="T21" s="16">
        <v>1.171729</v>
      </c>
      <c r="U21" s="16">
        <v>1.2680990000000001</v>
      </c>
      <c r="V21" s="16">
        <v>1.239495</v>
      </c>
      <c r="W21" s="16">
        <v>1.2454080000000001</v>
      </c>
      <c r="X21" s="16">
        <v>1.1064799999999999</v>
      </c>
      <c r="Y21" s="16">
        <v>1.1124830000000001</v>
      </c>
      <c r="Z21" s="16">
        <v>1.1332340000000001</v>
      </c>
      <c r="AA21" s="16">
        <v>1.133111</v>
      </c>
      <c r="AB21" s="16">
        <v>1.107737</v>
      </c>
      <c r="AC21" s="16">
        <v>1.1223460000000001</v>
      </c>
      <c r="AD21" s="16">
        <v>1.1278379999999999</v>
      </c>
      <c r="AE21" s="16">
        <v>1.1175299999999999</v>
      </c>
      <c r="AF21" s="16">
        <v>1.1394489999999999</v>
      </c>
      <c r="AG21" s="16">
        <v>1.1864110000000001</v>
      </c>
      <c r="AH21" s="16">
        <v>1.175575</v>
      </c>
      <c r="AI21" s="16">
        <v>1.180698</v>
      </c>
      <c r="AJ21" s="16">
        <v>1.138506</v>
      </c>
      <c r="AK21" s="16">
        <v>1.152326</v>
      </c>
      <c r="AL21" s="13">
        <v>5.2960000000000004E-3</v>
      </c>
    </row>
    <row r="22" spans="1:38" ht="15" customHeight="1" x14ac:dyDescent="0.25">
      <c r="A22" s="7" t="s">
        <v>346</v>
      </c>
      <c r="B22" s="11" t="s">
        <v>347</v>
      </c>
      <c r="C22" s="16">
        <v>7.0000000000000007E-2</v>
      </c>
      <c r="D22" s="16">
        <v>0.32700000000000001</v>
      </c>
      <c r="E22" s="16">
        <v>0.17499999999999999</v>
      </c>
      <c r="F22" s="16">
        <v>1.37E-2</v>
      </c>
      <c r="G22" s="16">
        <v>1.366E-2</v>
      </c>
      <c r="H22" s="16">
        <v>1.575E-2</v>
      </c>
      <c r="I22" s="16">
        <v>3.4250000000000003E-2</v>
      </c>
      <c r="J22" s="16">
        <v>7.7399999999999997E-2</v>
      </c>
      <c r="K22" s="16">
        <v>9.5630000000000007E-2</v>
      </c>
      <c r="L22" s="16">
        <v>7.1919999999999998E-2</v>
      </c>
      <c r="M22" s="16">
        <v>0</v>
      </c>
      <c r="N22" s="16">
        <v>0</v>
      </c>
      <c r="O22" s="16">
        <v>0</v>
      </c>
      <c r="P22" s="16">
        <v>0</v>
      </c>
      <c r="Q22" s="16">
        <v>0</v>
      </c>
      <c r="R22" s="16">
        <v>0</v>
      </c>
      <c r="S22" s="16">
        <v>0</v>
      </c>
      <c r="T22" s="16">
        <v>0</v>
      </c>
      <c r="U22" s="16">
        <v>0</v>
      </c>
      <c r="V22" s="16">
        <v>0</v>
      </c>
      <c r="W22" s="16">
        <v>0</v>
      </c>
      <c r="X22" s="16">
        <v>0</v>
      </c>
      <c r="Y22" s="16">
        <v>0</v>
      </c>
      <c r="Z22" s="16">
        <v>0</v>
      </c>
      <c r="AA22" s="16">
        <v>0</v>
      </c>
      <c r="AB22" s="16">
        <v>0</v>
      </c>
      <c r="AC22" s="16">
        <v>0</v>
      </c>
      <c r="AD22" s="16">
        <v>0</v>
      </c>
      <c r="AE22" s="16">
        <v>0</v>
      </c>
      <c r="AF22" s="16">
        <v>0</v>
      </c>
      <c r="AG22" s="16">
        <v>0</v>
      </c>
      <c r="AH22" s="16">
        <v>0</v>
      </c>
      <c r="AI22" s="16">
        <v>0</v>
      </c>
      <c r="AJ22" s="16">
        <v>0</v>
      </c>
      <c r="AK22" s="16">
        <v>0</v>
      </c>
      <c r="AL22" s="13" t="s">
        <v>9</v>
      </c>
    </row>
    <row r="23" spans="1:38" ht="15" customHeight="1" x14ac:dyDescent="0.25">
      <c r="A23" s="7" t="s">
        <v>348</v>
      </c>
      <c r="B23" s="10" t="s">
        <v>349</v>
      </c>
      <c r="C23" s="17">
        <v>16.233999000000001</v>
      </c>
      <c r="D23" s="17">
        <v>16.419537999999999</v>
      </c>
      <c r="E23" s="17">
        <v>16.54862</v>
      </c>
      <c r="F23" s="17">
        <v>16.954622000000001</v>
      </c>
      <c r="G23" s="17">
        <v>17.756893000000002</v>
      </c>
      <c r="H23" s="17">
        <v>17.738657</v>
      </c>
      <c r="I23" s="17">
        <v>17.712816</v>
      </c>
      <c r="J23" s="17">
        <v>17.686094000000001</v>
      </c>
      <c r="K23" s="17">
        <v>17.569305</v>
      </c>
      <c r="L23" s="17">
        <v>17.455563000000001</v>
      </c>
      <c r="M23" s="17">
        <v>17.108509000000002</v>
      </c>
      <c r="N23" s="17">
        <v>17.075243</v>
      </c>
      <c r="O23" s="17">
        <v>17.054337</v>
      </c>
      <c r="P23" s="17">
        <v>17.132550999999999</v>
      </c>
      <c r="Q23" s="17">
        <v>17.140416999999999</v>
      </c>
      <c r="R23" s="17">
        <v>17.261322</v>
      </c>
      <c r="S23" s="17">
        <v>17.264748000000001</v>
      </c>
      <c r="T23" s="17">
        <v>17.285467000000001</v>
      </c>
      <c r="U23" s="17">
        <v>17.305160999999998</v>
      </c>
      <c r="V23" s="17">
        <v>17.428204000000001</v>
      </c>
      <c r="W23" s="17">
        <v>17.435214999999999</v>
      </c>
      <c r="X23" s="17">
        <v>17.428592999999999</v>
      </c>
      <c r="Y23" s="17">
        <v>17.502016000000001</v>
      </c>
      <c r="Z23" s="17">
        <v>17.574943999999999</v>
      </c>
      <c r="AA23" s="17">
        <v>17.593326999999999</v>
      </c>
      <c r="AB23" s="17">
        <v>17.581731999999999</v>
      </c>
      <c r="AC23" s="17">
        <v>17.521193</v>
      </c>
      <c r="AD23" s="17">
        <v>17.519950999999999</v>
      </c>
      <c r="AE23" s="17">
        <v>17.406956000000001</v>
      </c>
      <c r="AF23" s="17">
        <v>17.316479000000001</v>
      </c>
      <c r="AG23" s="17">
        <v>17.25243</v>
      </c>
      <c r="AH23" s="17">
        <v>17.250274999999998</v>
      </c>
      <c r="AI23" s="17">
        <v>17.259520999999999</v>
      </c>
      <c r="AJ23" s="17">
        <v>17.208210000000001</v>
      </c>
      <c r="AK23" s="17">
        <v>17.208632999999999</v>
      </c>
      <c r="AL23" s="15">
        <v>1.423E-3</v>
      </c>
    </row>
    <row r="24" spans="1:38" ht="15" customHeight="1" x14ac:dyDescent="0.25"/>
    <row r="25" spans="1:38" ht="15" customHeight="1" x14ac:dyDescent="0.25">
      <c r="A25" s="7" t="s">
        <v>350</v>
      </c>
      <c r="B25" s="11" t="s">
        <v>351</v>
      </c>
      <c r="C25" s="16">
        <v>-2.456</v>
      </c>
      <c r="D25" s="16">
        <v>-2.6440000000000001</v>
      </c>
      <c r="E25" s="16">
        <v>-2.85</v>
      </c>
      <c r="F25" s="16">
        <v>-3.5507520000000001</v>
      </c>
      <c r="G25" s="16">
        <v>-4.7144240000000002</v>
      </c>
      <c r="H25" s="16">
        <v>-4.9579550000000001</v>
      </c>
      <c r="I25" s="16">
        <v>-5.1124429999999998</v>
      </c>
      <c r="J25" s="16">
        <v>-5.2240609999999998</v>
      </c>
      <c r="K25" s="16">
        <v>-5.2212329999999998</v>
      </c>
      <c r="L25" s="16">
        <v>-5.320697</v>
      </c>
      <c r="M25" s="16">
        <v>-5.1781110000000004</v>
      </c>
      <c r="N25" s="16">
        <v>-5.2943759999999997</v>
      </c>
      <c r="O25" s="16">
        <v>-5.3781109999999996</v>
      </c>
      <c r="P25" s="16">
        <v>-5.4839500000000001</v>
      </c>
      <c r="Q25" s="16">
        <v>-5.5749360000000001</v>
      </c>
      <c r="R25" s="16">
        <v>-5.7556880000000001</v>
      </c>
      <c r="S25" s="16">
        <v>-5.829243</v>
      </c>
      <c r="T25" s="16">
        <v>-5.8975280000000003</v>
      </c>
      <c r="U25" s="16">
        <v>-5.9787600000000003</v>
      </c>
      <c r="V25" s="16">
        <v>-6.1462649999999996</v>
      </c>
      <c r="W25" s="16">
        <v>-6.1040450000000002</v>
      </c>
      <c r="X25" s="16">
        <v>-6.1374149999999998</v>
      </c>
      <c r="Y25" s="16">
        <v>-6.1181729999999996</v>
      </c>
      <c r="Z25" s="16">
        <v>-6.1854570000000004</v>
      </c>
      <c r="AA25" s="16">
        <v>-6.2056620000000002</v>
      </c>
      <c r="AB25" s="16">
        <v>-6.1469360000000002</v>
      </c>
      <c r="AC25" s="16">
        <v>-6.0540430000000001</v>
      </c>
      <c r="AD25" s="16">
        <v>-6.0175239999999999</v>
      </c>
      <c r="AE25" s="16">
        <v>-5.8430010000000001</v>
      </c>
      <c r="AF25" s="16">
        <v>-5.687068</v>
      </c>
      <c r="AG25" s="16">
        <v>-5.5617109999999998</v>
      </c>
      <c r="AH25" s="16">
        <v>-5.4802</v>
      </c>
      <c r="AI25" s="16">
        <v>-5.3977469999999999</v>
      </c>
      <c r="AJ25" s="16">
        <v>-5.239986</v>
      </c>
      <c r="AK25" s="16">
        <v>-5.1435139999999997</v>
      </c>
      <c r="AL25" s="13">
        <v>2.0369999999999999E-2</v>
      </c>
    </row>
    <row r="26" spans="1:38" ht="15" customHeight="1" x14ac:dyDescent="0.25">
      <c r="A26" s="7" t="s">
        <v>352</v>
      </c>
      <c r="B26" s="11" t="s">
        <v>353</v>
      </c>
      <c r="C26" s="16">
        <v>0.877</v>
      </c>
      <c r="D26" s="16">
        <v>1.6160000000000001</v>
      </c>
      <c r="E26" s="16">
        <v>1.38</v>
      </c>
      <c r="F26" s="16">
        <v>0.75190500000000005</v>
      </c>
      <c r="G26" s="16">
        <v>1.0283450000000001</v>
      </c>
      <c r="H26" s="16">
        <v>1.1270500000000001</v>
      </c>
      <c r="I26" s="16">
        <v>1.086452</v>
      </c>
      <c r="J26" s="16">
        <v>1.117019</v>
      </c>
      <c r="K26" s="16">
        <v>1.171551</v>
      </c>
      <c r="L26" s="16">
        <v>1.098425</v>
      </c>
      <c r="M26" s="16">
        <v>0.93442999999999998</v>
      </c>
      <c r="N26" s="16">
        <v>0.94855999999999996</v>
      </c>
      <c r="O26" s="16">
        <v>0.99356599999999995</v>
      </c>
      <c r="P26" s="16">
        <v>1.03077</v>
      </c>
      <c r="Q26" s="16">
        <v>1.045712</v>
      </c>
      <c r="R26" s="16">
        <v>1.0725789999999999</v>
      </c>
      <c r="S26" s="16">
        <v>1.0715410000000001</v>
      </c>
      <c r="T26" s="16">
        <v>1.1099079999999999</v>
      </c>
      <c r="U26" s="16">
        <v>1.1122430000000001</v>
      </c>
      <c r="V26" s="16">
        <v>1.123712</v>
      </c>
      <c r="W26" s="16">
        <v>1.134773</v>
      </c>
      <c r="X26" s="16">
        <v>1.174175</v>
      </c>
      <c r="Y26" s="16">
        <v>1.195883</v>
      </c>
      <c r="Z26" s="16">
        <v>1.2427140000000001</v>
      </c>
      <c r="AA26" s="16">
        <v>1.233277</v>
      </c>
      <c r="AB26" s="16">
        <v>1.2669550000000001</v>
      </c>
      <c r="AC26" s="16">
        <v>1.267555</v>
      </c>
      <c r="AD26" s="16">
        <v>1.2479629999999999</v>
      </c>
      <c r="AE26" s="16">
        <v>1.2381610000000001</v>
      </c>
      <c r="AF26" s="16">
        <v>1.253425</v>
      </c>
      <c r="AG26" s="16">
        <v>1.2559750000000001</v>
      </c>
      <c r="AH26" s="16">
        <v>1.264232</v>
      </c>
      <c r="AI26" s="16">
        <v>1.2616810000000001</v>
      </c>
      <c r="AJ26" s="16">
        <v>1.2761480000000001</v>
      </c>
      <c r="AK26" s="16">
        <v>1.2922119999999999</v>
      </c>
      <c r="AL26" s="13">
        <v>-6.7530000000000003E-3</v>
      </c>
    </row>
    <row r="27" spans="1:38" ht="15" customHeight="1" x14ac:dyDescent="0.25">
      <c r="A27" s="7" t="s">
        <v>354</v>
      </c>
      <c r="B27" s="11" t="s">
        <v>355</v>
      </c>
      <c r="C27" s="16">
        <v>0.60599999999999998</v>
      </c>
      <c r="D27" s="16">
        <v>0.57999999999999996</v>
      </c>
      <c r="E27" s="16">
        <v>0.68500000000000005</v>
      </c>
      <c r="F27" s="16">
        <v>0.58829799999999999</v>
      </c>
      <c r="G27" s="16">
        <v>0.582619</v>
      </c>
      <c r="H27" s="16">
        <v>0.57420300000000002</v>
      </c>
      <c r="I27" s="16">
        <v>0.565419</v>
      </c>
      <c r="J27" s="16">
        <v>0.55737099999999995</v>
      </c>
      <c r="K27" s="16">
        <v>0.54895499999999997</v>
      </c>
      <c r="L27" s="16">
        <v>0.54017099999999996</v>
      </c>
      <c r="M27" s="16">
        <v>0.53175499999999998</v>
      </c>
      <c r="N27" s="16">
        <v>0.523339</v>
      </c>
      <c r="O27" s="16">
        <v>0.51492400000000005</v>
      </c>
      <c r="P27" s="16">
        <v>0.50650799999999996</v>
      </c>
      <c r="Q27" s="16">
        <v>0.49809199999999998</v>
      </c>
      <c r="R27" s="16">
        <v>0.489676</v>
      </c>
      <c r="S27" s="16">
        <v>0.48126000000000002</v>
      </c>
      <c r="T27" s="16">
        <v>0.47284399999999999</v>
      </c>
      <c r="U27" s="16">
        <v>0.46442800000000001</v>
      </c>
      <c r="V27" s="16">
        <v>0.45601199999999997</v>
      </c>
      <c r="W27" s="16">
        <v>0.44759599999999999</v>
      </c>
      <c r="X27" s="16">
        <v>0.43918000000000001</v>
      </c>
      <c r="Y27" s="16">
        <v>0.43076399999999998</v>
      </c>
      <c r="Z27" s="16">
        <v>0.422348</v>
      </c>
      <c r="AA27" s="16">
        <v>0.41380299999999998</v>
      </c>
      <c r="AB27" s="16">
        <v>0.40551700000000002</v>
      </c>
      <c r="AC27" s="16">
        <v>0.39710099999999998</v>
      </c>
      <c r="AD27" s="16">
        <v>0.38849299999999998</v>
      </c>
      <c r="AE27" s="16">
        <v>0.38026900000000002</v>
      </c>
      <c r="AF27" s="16">
        <v>0.37185299999999999</v>
      </c>
      <c r="AG27" s="16">
        <v>0.36343700000000001</v>
      </c>
      <c r="AH27" s="16">
        <v>0.35502099999999998</v>
      </c>
      <c r="AI27" s="16">
        <v>0.346605</v>
      </c>
      <c r="AJ27" s="16">
        <v>0.33818900000000002</v>
      </c>
      <c r="AK27" s="16">
        <v>0.32977299999999998</v>
      </c>
      <c r="AL27" s="13">
        <v>-1.6964E-2</v>
      </c>
    </row>
    <row r="28" spans="1:38" ht="15" customHeight="1" x14ac:dyDescent="0.25">
      <c r="A28" s="7" t="s">
        <v>356</v>
      </c>
      <c r="B28" s="11" t="s">
        <v>357</v>
      </c>
      <c r="C28" s="16">
        <v>0.65700000000000003</v>
      </c>
      <c r="D28" s="16">
        <v>0.65200000000000002</v>
      </c>
      <c r="E28" s="16">
        <v>0.65200000000000002</v>
      </c>
      <c r="F28" s="16">
        <v>0.65629599999999999</v>
      </c>
      <c r="G28" s="16">
        <v>0.71381099999999997</v>
      </c>
      <c r="H28" s="16">
        <v>0.69537199999999999</v>
      </c>
      <c r="I28" s="16">
        <v>0.66774500000000003</v>
      </c>
      <c r="J28" s="16">
        <v>0.63415200000000005</v>
      </c>
      <c r="K28" s="16">
        <v>0.58863100000000002</v>
      </c>
      <c r="L28" s="16">
        <v>0.50264699999999995</v>
      </c>
      <c r="M28" s="16">
        <v>0.430091</v>
      </c>
      <c r="N28" s="16">
        <v>0.40023199999999998</v>
      </c>
      <c r="O28" s="16">
        <v>0.371923</v>
      </c>
      <c r="P28" s="16">
        <v>0.33691700000000002</v>
      </c>
      <c r="Q28" s="16">
        <v>0.31395299999999998</v>
      </c>
      <c r="R28" s="16">
        <v>0.285941</v>
      </c>
      <c r="S28" s="16">
        <v>0.25560699999999997</v>
      </c>
      <c r="T28" s="16">
        <v>0.22848499999999999</v>
      </c>
      <c r="U28" s="16">
        <v>0.19733200000000001</v>
      </c>
      <c r="V28" s="16">
        <v>0.16690099999999999</v>
      </c>
      <c r="W28" s="16">
        <v>0.1676</v>
      </c>
      <c r="X28" s="16">
        <v>0.17344300000000001</v>
      </c>
      <c r="Y28" s="16">
        <v>0.169404</v>
      </c>
      <c r="Z28" s="16">
        <v>0.174817</v>
      </c>
      <c r="AA28" s="16">
        <v>0.17316799999999999</v>
      </c>
      <c r="AB28" s="16">
        <v>0.17478099999999999</v>
      </c>
      <c r="AC28" s="16">
        <v>0.17376900000000001</v>
      </c>
      <c r="AD28" s="16">
        <v>0.17058599999999999</v>
      </c>
      <c r="AE28" s="16">
        <v>0.164773</v>
      </c>
      <c r="AF28" s="16">
        <v>0.16320699999999999</v>
      </c>
      <c r="AG28" s="16">
        <v>0.16239799999999999</v>
      </c>
      <c r="AH28" s="16">
        <v>0.16266800000000001</v>
      </c>
      <c r="AI28" s="16">
        <v>0.16181200000000001</v>
      </c>
      <c r="AJ28" s="16">
        <v>0.16076199999999999</v>
      </c>
      <c r="AK28" s="16">
        <v>0.16216700000000001</v>
      </c>
      <c r="AL28" s="13">
        <v>-4.1287999999999998E-2</v>
      </c>
    </row>
    <row r="29" spans="1:38" ht="15" customHeight="1" x14ac:dyDescent="0.25">
      <c r="A29" s="7" t="s">
        <v>358</v>
      </c>
      <c r="B29" s="11" t="s">
        <v>359</v>
      </c>
      <c r="C29" s="16">
        <v>4.5880000000000001</v>
      </c>
      <c r="D29" s="16">
        <v>5.492</v>
      </c>
      <c r="E29" s="16">
        <v>5.5670000000000002</v>
      </c>
      <c r="F29" s="16">
        <v>5.5472520000000003</v>
      </c>
      <c r="G29" s="16">
        <v>7.0391979999999998</v>
      </c>
      <c r="H29" s="16">
        <v>7.3545790000000002</v>
      </c>
      <c r="I29" s="16">
        <v>7.4320589999999997</v>
      </c>
      <c r="J29" s="16">
        <v>7.5326019999999998</v>
      </c>
      <c r="K29" s="16">
        <v>7.5303699999999996</v>
      </c>
      <c r="L29" s="16">
        <v>7.4619400000000002</v>
      </c>
      <c r="M29" s="16">
        <v>7.0743879999999999</v>
      </c>
      <c r="N29" s="16">
        <v>7.1665070000000002</v>
      </c>
      <c r="O29" s="16">
        <v>7.2585230000000003</v>
      </c>
      <c r="P29" s="16">
        <v>7.3581440000000002</v>
      </c>
      <c r="Q29" s="16">
        <v>7.4326930000000004</v>
      </c>
      <c r="R29" s="16">
        <v>7.6038839999999999</v>
      </c>
      <c r="S29" s="16">
        <v>7.6376499999999998</v>
      </c>
      <c r="T29" s="16">
        <v>7.7087649999999996</v>
      </c>
      <c r="U29" s="16">
        <v>7.7527629999999998</v>
      </c>
      <c r="V29" s="16">
        <v>7.8928900000000004</v>
      </c>
      <c r="W29" s="16">
        <v>7.8540150000000004</v>
      </c>
      <c r="X29" s="16">
        <v>7.924213</v>
      </c>
      <c r="Y29" s="16">
        <v>7.9142250000000001</v>
      </c>
      <c r="Z29" s="16">
        <v>8.0253350000000001</v>
      </c>
      <c r="AA29" s="16">
        <v>8.0259110000000007</v>
      </c>
      <c r="AB29" s="16">
        <v>7.9941880000000003</v>
      </c>
      <c r="AC29" s="16">
        <v>7.8924669999999999</v>
      </c>
      <c r="AD29" s="16">
        <v>7.8245649999999998</v>
      </c>
      <c r="AE29" s="16">
        <v>7.6262040000000004</v>
      </c>
      <c r="AF29" s="16">
        <v>7.4755529999999997</v>
      </c>
      <c r="AG29" s="16">
        <v>7.3435220000000001</v>
      </c>
      <c r="AH29" s="16">
        <v>7.2621219999999997</v>
      </c>
      <c r="AI29" s="16">
        <v>7.1678449999999998</v>
      </c>
      <c r="AJ29" s="16">
        <v>7.0150860000000002</v>
      </c>
      <c r="AK29" s="16">
        <v>6.9276669999999996</v>
      </c>
      <c r="AL29" s="13">
        <v>7.0619999999999997E-3</v>
      </c>
    </row>
    <row r="30" spans="1:38" ht="15" customHeight="1" x14ac:dyDescent="0.25">
      <c r="A30" s="7" t="s">
        <v>360</v>
      </c>
      <c r="B30" s="11" t="s">
        <v>361</v>
      </c>
      <c r="C30" s="16">
        <v>1.1180000000000001</v>
      </c>
      <c r="D30" s="16">
        <v>1.095</v>
      </c>
      <c r="E30" s="16">
        <v>1.0920000000000001</v>
      </c>
      <c r="F30" s="16">
        <v>1.1188549999999999</v>
      </c>
      <c r="G30" s="16">
        <v>1.0770759999999999</v>
      </c>
      <c r="H30" s="16">
        <v>1.0413250000000001</v>
      </c>
      <c r="I30" s="16">
        <v>1.0584420000000001</v>
      </c>
      <c r="J30" s="16">
        <v>1.0449820000000001</v>
      </c>
      <c r="K30" s="16">
        <v>1.024065</v>
      </c>
      <c r="L30" s="16">
        <v>1.0052760000000001</v>
      </c>
      <c r="M30" s="16">
        <v>0.98577300000000001</v>
      </c>
      <c r="N30" s="16">
        <v>0.98467800000000005</v>
      </c>
      <c r="O30" s="16">
        <v>0.98097299999999998</v>
      </c>
      <c r="P30" s="16">
        <v>0.96638900000000005</v>
      </c>
      <c r="Q30" s="16">
        <v>0.95937700000000004</v>
      </c>
      <c r="R30" s="16">
        <v>0.97471600000000003</v>
      </c>
      <c r="S30" s="16">
        <v>0.97614800000000002</v>
      </c>
      <c r="T30" s="16">
        <v>0.97833700000000001</v>
      </c>
      <c r="U30" s="16">
        <v>0.98061600000000004</v>
      </c>
      <c r="V30" s="16">
        <v>0.99543000000000004</v>
      </c>
      <c r="W30" s="16">
        <v>0.99213300000000004</v>
      </c>
      <c r="X30" s="16">
        <v>0.98578399999999999</v>
      </c>
      <c r="Y30" s="16">
        <v>0.99535099999999999</v>
      </c>
      <c r="Z30" s="16">
        <v>0.999834</v>
      </c>
      <c r="AA30" s="16">
        <v>1.00587</v>
      </c>
      <c r="AB30" s="16">
        <v>1.0016400000000001</v>
      </c>
      <c r="AC30" s="16">
        <v>1.0016890000000001</v>
      </c>
      <c r="AD30" s="16">
        <v>1.0033000000000001</v>
      </c>
      <c r="AE30" s="16">
        <v>0.99550400000000006</v>
      </c>
      <c r="AF30" s="16">
        <v>1.0017100000000001</v>
      </c>
      <c r="AG30" s="16">
        <v>1.0027680000000001</v>
      </c>
      <c r="AH30" s="16">
        <v>1.0027680000000001</v>
      </c>
      <c r="AI30" s="16">
        <v>1.0055019999999999</v>
      </c>
      <c r="AJ30" s="16">
        <v>1.0086930000000001</v>
      </c>
      <c r="AK30" s="16">
        <v>1.008783</v>
      </c>
      <c r="AL30" s="13">
        <v>-2.4819999999999998E-3</v>
      </c>
    </row>
    <row r="31" spans="1:38" ht="15" customHeight="1" x14ac:dyDescent="0.25">
      <c r="A31" s="7" t="s">
        <v>362</v>
      </c>
      <c r="B31" s="11" t="s">
        <v>363</v>
      </c>
      <c r="C31" s="16">
        <v>-3.3000000000000002E-2</v>
      </c>
      <c r="D31" s="16">
        <v>9.7000000000000003E-2</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3" t="s">
        <v>9</v>
      </c>
    </row>
    <row r="32" spans="1:38" ht="15" customHeight="1" x14ac:dyDescent="0.25">
      <c r="A32" s="7" t="s">
        <v>364</v>
      </c>
      <c r="B32" s="11" t="s">
        <v>365</v>
      </c>
      <c r="C32" s="16">
        <v>3.4750000000000001</v>
      </c>
      <c r="D32" s="16">
        <v>3.731017</v>
      </c>
      <c r="E32" s="16">
        <v>4.2179120000000001</v>
      </c>
      <c r="F32" s="16">
        <v>4.4269910000000001</v>
      </c>
      <c r="G32" s="16">
        <v>4.6853420000000003</v>
      </c>
      <c r="H32" s="16">
        <v>4.9047919999999996</v>
      </c>
      <c r="I32" s="16">
        <v>4.9589980000000002</v>
      </c>
      <c r="J32" s="16">
        <v>4.9954840000000003</v>
      </c>
      <c r="K32" s="16">
        <v>5.0577800000000002</v>
      </c>
      <c r="L32" s="16">
        <v>5.1250419999999997</v>
      </c>
      <c r="M32" s="16">
        <v>5.2026709999999996</v>
      </c>
      <c r="N32" s="16">
        <v>5.2606000000000002</v>
      </c>
      <c r="O32" s="16">
        <v>5.3150320000000004</v>
      </c>
      <c r="P32" s="16">
        <v>5.3056760000000001</v>
      </c>
      <c r="Q32" s="16">
        <v>5.3471950000000001</v>
      </c>
      <c r="R32" s="16">
        <v>5.3693299999999997</v>
      </c>
      <c r="S32" s="16">
        <v>5.3844459999999996</v>
      </c>
      <c r="T32" s="16">
        <v>5.404344</v>
      </c>
      <c r="U32" s="16">
        <v>5.4245409999999996</v>
      </c>
      <c r="V32" s="16">
        <v>5.4282550000000001</v>
      </c>
      <c r="W32" s="16">
        <v>5.394209</v>
      </c>
      <c r="X32" s="16">
        <v>5.4593189999999998</v>
      </c>
      <c r="Y32" s="16">
        <v>5.4205310000000004</v>
      </c>
      <c r="Z32" s="16">
        <v>5.4356689999999999</v>
      </c>
      <c r="AA32" s="16">
        <v>5.4655290000000001</v>
      </c>
      <c r="AB32" s="16">
        <v>5.4716469999999999</v>
      </c>
      <c r="AC32" s="16">
        <v>5.4769899999999998</v>
      </c>
      <c r="AD32" s="16">
        <v>5.494802</v>
      </c>
      <c r="AE32" s="16">
        <v>5.5081720000000001</v>
      </c>
      <c r="AF32" s="16">
        <v>5.5029310000000002</v>
      </c>
      <c r="AG32" s="16">
        <v>5.5174979999999998</v>
      </c>
      <c r="AH32" s="16">
        <v>5.5410659999999998</v>
      </c>
      <c r="AI32" s="16">
        <v>5.5534619999999997</v>
      </c>
      <c r="AJ32" s="16">
        <v>5.5516690000000004</v>
      </c>
      <c r="AK32" s="16">
        <v>5.567812</v>
      </c>
      <c r="AL32" s="13">
        <v>1.2205000000000001E-2</v>
      </c>
    </row>
    <row r="33" spans="1:38" ht="15" customHeight="1" x14ac:dyDescent="0.25">
      <c r="A33" s="7" t="s">
        <v>366</v>
      </c>
      <c r="B33" s="11" t="s">
        <v>367</v>
      </c>
      <c r="C33" s="16">
        <v>1.0792139999999999</v>
      </c>
      <c r="D33" s="16">
        <v>1.1020479999999999</v>
      </c>
      <c r="E33" s="16">
        <v>1.132949</v>
      </c>
      <c r="F33" s="16">
        <v>1.1255980000000001</v>
      </c>
      <c r="G33" s="16">
        <v>1.1250359999999999</v>
      </c>
      <c r="H33" s="16">
        <v>1.1216390000000001</v>
      </c>
      <c r="I33" s="16">
        <v>1.1176170000000001</v>
      </c>
      <c r="J33" s="16">
        <v>1.113645</v>
      </c>
      <c r="K33" s="16">
        <v>1.109173</v>
      </c>
      <c r="L33" s="16">
        <v>1.106581</v>
      </c>
      <c r="M33" s="16">
        <v>1.093324</v>
      </c>
      <c r="N33" s="16">
        <v>1.087858</v>
      </c>
      <c r="O33" s="16">
        <v>1.081472</v>
      </c>
      <c r="P33" s="16">
        <v>1.0744670000000001</v>
      </c>
      <c r="Q33" s="16">
        <v>1.068155</v>
      </c>
      <c r="R33" s="16">
        <v>1.059213</v>
      </c>
      <c r="S33" s="16">
        <v>1.0526629999999999</v>
      </c>
      <c r="T33" s="16">
        <v>1.04938</v>
      </c>
      <c r="U33" s="16">
        <v>1.0488200000000001</v>
      </c>
      <c r="V33" s="16">
        <v>1.0493809999999999</v>
      </c>
      <c r="W33" s="16">
        <v>1.049823</v>
      </c>
      <c r="X33" s="16">
        <v>1.050225</v>
      </c>
      <c r="Y33" s="16">
        <v>1.050684</v>
      </c>
      <c r="Z33" s="16">
        <v>1.0509139999999999</v>
      </c>
      <c r="AA33" s="16">
        <v>1.0512840000000001</v>
      </c>
      <c r="AB33" s="16">
        <v>1.051814</v>
      </c>
      <c r="AC33" s="16">
        <v>1.0520750000000001</v>
      </c>
      <c r="AD33" s="16">
        <v>1.053212</v>
      </c>
      <c r="AE33" s="16">
        <v>1.0536540000000001</v>
      </c>
      <c r="AF33" s="16">
        <v>1.0580639999999999</v>
      </c>
      <c r="AG33" s="16">
        <v>1.0624979999999999</v>
      </c>
      <c r="AH33" s="16">
        <v>1.0664739999999999</v>
      </c>
      <c r="AI33" s="16">
        <v>1.0668690000000001</v>
      </c>
      <c r="AJ33" s="16">
        <v>1.066934</v>
      </c>
      <c r="AK33" s="16">
        <v>1.0678300000000001</v>
      </c>
      <c r="AL33" s="13">
        <v>-9.5500000000000001E-4</v>
      </c>
    </row>
    <row r="34" spans="1:38" ht="15" customHeight="1" x14ac:dyDescent="0.25">
      <c r="A34" s="7" t="s">
        <v>368</v>
      </c>
      <c r="B34" s="11" t="s">
        <v>369</v>
      </c>
      <c r="C34" s="16">
        <v>0.90425</v>
      </c>
      <c r="D34" s="16">
        <v>0.92111200000000004</v>
      </c>
      <c r="E34" s="16">
        <v>0.93718900000000005</v>
      </c>
      <c r="F34" s="16">
        <v>0.93524300000000005</v>
      </c>
      <c r="G34" s="16">
        <v>0.92335400000000001</v>
      </c>
      <c r="H34" s="16">
        <v>0.92144899999999996</v>
      </c>
      <c r="I34" s="16">
        <v>0.91593199999999997</v>
      </c>
      <c r="J34" s="16">
        <v>0.91100999999999999</v>
      </c>
      <c r="K34" s="16">
        <v>0.90547900000000003</v>
      </c>
      <c r="L34" s="16">
        <v>0.90259699999999998</v>
      </c>
      <c r="M34" s="16">
        <v>0.88870300000000002</v>
      </c>
      <c r="N34" s="16">
        <v>0.88277700000000003</v>
      </c>
      <c r="O34" s="16">
        <v>0.86974099999999999</v>
      </c>
      <c r="P34" s="16">
        <v>0.85652399999999995</v>
      </c>
      <c r="Q34" s="16">
        <v>0.84053900000000004</v>
      </c>
      <c r="R34" s="16">
        <v>0.818438</v>
      </c>
      <c r="S34" s="16">
        <v>0.80329499999999998</v>
      </c>
      <c r="T34" s="16">
        <v>0.79744300000000001</v>
      </c>
      <c r="U34" s="16">
        <v>0.79591500000000004</v>
      </c>
      <c r="V34" s="16">
        <v>0.79580600000000001</v>
      </c>
      <c r="W34" s="16">
        <v>0.79580799999999996</v>
      </c>
      <c r="X34" s="16">
        <v>0.79586999999999997</v>
      </c>
      <c r="Y34" s="16">
        <v>0.795902</v>
      </c>
      <c r="Z34" s="16">
        <v>0.79585399999999995</v>
      </c>
      <c r="AA34" s="16">
        <v>0.79585600000000001</v>
      </c>
      <c r="AB34" s="16">
        <v>0.79586500000000004</v>
      </c>
      <c r="AC34" s="16">
        <v>0.79585899999999998</v>
      </c>
      <c r="AD34" s="16">
        <v>0.79785200000000001</v>
      </c>
      <c r="AE34" s="16">
        <v>0.79802399999999996</v>
      </c>
      <c r="AF34" s="16">
        <v>0.81777699999999998</v>
      </c>
      <c r="AG34" s="16">
        <v>0.837059</v>
      </c>
      <c r="AH34" s="16">
        <v>0.85424199999999995</v>
      </c>
      <c r="AI34" s="16">
        <v>0.85425499999999999</v>
      </c>
      <c r="AJ34" s="16">
        <v>0.85419500000000004</v>
      </c>
      <c r="AK34" s="16">
        <v>0.85496399999999995</v>
      </c>
      <c r="AL34" s="13">
        <v>-2.2560000000000002E-3</v>
      </c>
    </row>
    <row r="35" spans="1:38" ht="15" customHeight="1" x14ac:dyDescent="0.25">
      <c r="A35" s="7" t="s">
        <v>370</v>
      </c>
      <c r="B35" s="11" t="s">
        <v>371</v>
      </c>
      <c r="C35" s="16">
        <v>0.97802500000000003</v>
      </c>
      <c r="D35" s="16">
        <v>1.001428</v>
      </c>
      <c r="E35" s="16">
        <v>1.0111790000000001</v>
      </c>
      <c r="F35" s="16">
        <v>0.98105799999999999</v>
      </c>
      <c r="G35" s="16">
        <v>0.98137600000000003</v>
      </c>
      <c r="H35" s="16">
        <v>0.98180000000000001</v>
      </c>
      <c r="I35" s="16">
        <v>0.98236299999999999</v>
      </c>
      <c r="J35" s="16">
        <v>0.98220099999999999</v>
      </c>
      <c r="K35" s="16">
        <v>0.97195100000000001</v>
      </c>
      <c r="L35" s="16">
        <v>0.98059799999999997</v>
      </c>
      <c r="M35" s="16">
        <v>0.97192000000000001</v>
      </c>
      <c r="N35" s="16">
        <v>0.97146399999999999</v>
      </c>
      <c r="O35" s="16">
        <v>0.96421400000000002</v>
      </c>
      <c r="P35" s="16">
        <v>0.95663900000000002</v>
      </c>
      <c r="Q35" s="16">
        <v>0.94487600000000005</v>
      </c>
      <c r="R35" s="16">
        <v>0.92242500000000005</v>
      </c>
      <c r="S35" s="16">
        <v>0.91767200000000004</v>
      </c>
      <c r="T35" s="16">
        <v>0.911578</v>
      </c>
      <c r="U35" s="16">
        <v>0.90991299999999997</v>
      </c>
      <c r="V35" s="16">
        <v>0.90991299999999997</v>
      </c>
      <c r="W35" s="16">
        <v>0.90991299999999997</v>
      </c>
      <c r="X35" s="16">
        <v>0.90991299999999997</v>
      </c>
      <c r="Y35" s="16">
        <v>0.90991299999999997</v>
      </c>
      <c r="Z35" s="16">
        <v>0.90991299999999997</v>
      </c>
      <c r="AA35" s="16">
        <v>0.90386200000000005</v>
      </c>
      <c r="AB35" s="16">
        <v>0.90530699999999997</v>
      </c>
      <c r="AC35" s="16">
        <v>0.90378999999999998</v>
      </c>
      <c r="AD35" s="16">
        <v>0.901003</v>
      </c>
      <c r="AE35" s="16">
        <v>0.90064599999999995</v>
      </c>
      <c r="AF35" s="16">
        <v>0.92044300000000001</v>
      </c>
      <c r="AG35" s="16">
        <v>0.93489</v>
      </c>
      <c r="AH35" s="16">
        <v>0.95058500000000001</v>
      </c>
      <c r="AI35" s="16">
        <v>0.94904299999999997</v>
      </c>
      <c r="AJ35" s="16">
        <v>0.94741900000000001</v>
      </c>
      <c r="AK35" s="16">
        <v>0.94657500000000006</v>
      </c>
      <c r="AL35" s="13">
        <v>-1.7060000000000001E-3</v>
      </c>
    </row>
    <row r="36" spans="1:38" ht="15" customHeight="1" x14ac:dyDescent="0.25">
      <c r="A36" s="7" t="s">
        <v>372</v>
      </c>
      <c r="B36" s="11" t="s">
        <v>373</v>
      </c>
      <c r="C36" s="16">
        <v>-7.3774999999999993E-2</v>
      </c>
      <c r="D36" s="16">
        <v>-8.0315999999999999E-2</v>
      </c>
      <c r="E36" s="16">
        <v>-7.399E-2</v>
      </c>
      <c r="F36" s="16">
        <v>-4.5815000000000002E-2</v>
      </c>
      <c r="G36" s="16">
        <v>-5.8021999999999997E-2</v>
      </c>
      <c r="H36" s="16">
        <v>-6.0351000000000002E-2</v>
      </c>
      <c r="I36" s="16">
        <v>-6.6432000000000005E-2</v>
      </c>
      <c r="J36" s="16">
        <v>-7.1191000000000004E-2</v>
      </c>
      <c r="K36" s="16">
        <v>-6.6472000000000003E-2</v>
      </c>
      <c r="L36" s="16">
        <v>-7.8001000000000001E-2</v>
      </c>
      <c r="M36" s="16">
        <v>-8.3216999999999999E-2</v>
      </c>
      <c r="N36" s="16">
        <v>-8.8686000000000001E-2</v>
      </c>
      <c r="O36" s="16">
        <v>-9.4473000000000001E-2</v>
      </c>
      <c r="P36" s="16">
        <v>-0.10011399999999999</v>
      </c>
      <c r="Q36" s="16">
        <v>-0.104337</v>
      </c>
      <c r="R36" s="16">
        <v>-0.103987</v>
      </c>
      <c r="S36" s="16">
        <v>-0.11437700000000001</v>
      </c>
      <c r="T36" s="16">
        <v>-0.114136</v>
      </c>
      <c r="U36" s="16">
        <v>-0.113997</v>
      </c>
      <c r="V36" s="16">
        <v>-0.114107</v>
      </c>
      <c r="W36" s="16">
        <v>-0.114104</v>
      </c>
      <c r="X36" s="16">
        <v>-0.114042</v>
      </c>
      <c r="Y36" s="16">
        <v>-0.114011</v>
      </c>
      <c r="Z36" s="16">
        <v>-0.11405800000000001</v>
      </c>
      <c r="AA36" s="16">
        <v>-0.108006</v>
      </c>
      <c r="AB36" s="16">
        <v>-0.109442</v>
      </c>
      <c r="AC36" s="16">
        <v>-0.107931</v>
      </c>
      <c r="AD36" s="16">
        <v>-0.10315199999999999</v>
      </c>
      <c r="AE36" s="16">
        <v>-0.102622</v>
      </c>
      <c r="AF36" s="16">
        <v>-0.10266599999999999</v>
      </c>
      <c r="AG36" s="16">
        <v>-9.7831000000000001E-2</v>
      </c>
      <c r="AH36" s="16">
        <v>-9.6342999999999998E-2</v>
      </c>
      <c r="AI36" s="16">
        <v>-9.4787999999999997E-2</v>
      </c>
      <c r="AJ36" s="16">
        <v>-9.3224000000000001E-2</v>
      </c>
      <c r="AK36" s="16">
        <v>-9.1610999999999998E-2</v>
      </c>
      <c r="AL36" s="13">
        <v>3.9950000000000003E-3</v>
      </c>
    </row>
    <row r="37" spans="1:38" ht="15" customHeight="1" x14ac:dyDescent="0.25">
      <c r="A37" s="7" t="s">
        <v>374</v>
      </c>
      <c r="B37" s="11" t="s">
        <v>375</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3" t="s">
        <v>9</v>
      </c>
    </row>
    <row r="38" spans="1:38" ht="15" customHeight="1" x14ac:dyDescent="0.25">
      <c r="A38" s="7" t="s">
        <v>376</v>
      </c>
      <c r="B38" s="11" t="s">
        <v>377</v>
      </c>
      <c r="C38" s="16">
        <v>0.157027</v>
      </c>
      <c r="D38" s="16">
        <v>0.1555</v>
      </c>
      <c r="E38" s="16">
        <v>0.16423499999999999</v>
      </c>
      <c r="F38" s="16">
        <v>0.151063</v>
      </c>
      <c r="G38" s="16">
        <v>0.15326200000000001</v>
      </c>
      <c r="H38" s="16">
        <v>0.15151500000000001</v>
      </c>
      <c r="I38" s="16">
        <v>0.149733</v>
      </c>
      <c r="J38" s="16">
        <v>0.14974499999999999</v>
      </c>
      <c r="K38" s="16">
        <v>0.149815</v>
      </c>
      <c r="L38" s="16">
        <v>0.14951500000000001</v>
      </c>
      <c r="M38" s="16">
        <v>0.14940999999999999</v>
      </c>
      <c r="N38" s="16">
        <v>0.15009500000000001</v>
      </c>
      <c r="O38" s="16">
        <v>0.15027299999999999</v>
      </c>
      <c r="P38" s="16">
        <v>0.15066399999999999</v>
      </c>
      <c r="Q38" s="16">
        <v>0.15165999999999999</v>
      </c>
      <c r="R38" s="16">
        <v>0.152527</v>
      </c>
      <c r="S38" s="16">
        <v>0.15357799999999999</v>
      </c>
      <c r="T38" s="16">
        <v>0.15406600000000001</v>
      </c>
      <c r="U38" s="16">
        <v>0.15438399999999999</v>
      </c>
      <c r="V38" s="16">
        <v>0.154611</v>
      </c>
      <c r="W38" s="16">
        <v>0.15492900000000001</v>
      </c>
      <c r="X38" s="16">
        <v>0.15502099999999999</v>
      </c>
      <c r="Y38" s="16">
        <v>0.15543599999999999</v>
      </c>
      <c r="Z38" s="16">
        <v>0.15521399999999999</v>
      </c>
      <c r="AA38" s="16">
        <v>0.155339</v>
      </c>
      <c r="AB38" s="16">
        <v>0.15593899999999999</v>
      </c>
      <c r="AC38" s="16">
        <v>0.15570899999999999</v>
      </c>
      <c r="AD38" s="16">
        <v>0.15589700000000001</v>
      </c>
      <c r="AE38" s="16">
        <v>0.156199</v>
      </c>
      <c r="AF38" s="16">
        <v>0.15606999999999999</v>
      </c>
      <c r="AG38" s="16">
        <v>0.156248</v>
      </c>
      <c r="AH38" s="16">
        <v>0.15598600000000001</v>
      </c>
      <c r="AI38" s="16">
        <v>0.15684899999999999</v>
      </c>
      <c r="AJ38" s="16">
        <v>0.155005</v>
      </c>
      <c r="AK38" s="16">
        <v>0.15684000000000001</v>
      </c>
      <c r="AL38" s="13" t="s">
        <v>9</v>
      </c>
    </row>
    <row r="39" spans="1:38" ht="15" customHeight="1" x14ac:dyDescent="0.25">
      <c r="A39" s="7" t="s">
        <v>378</v>
      </c>
      <c r="B39" s="11" t="s">
        <v>371</v>
      </c>
      <c r="C39" s="16">
        <v>0.10199999999999999</v>
      </c>
      <c r="D39" s="16">
        <v>0.104</v>
      </c>
      <c r="E39" s="16">
        <v>0.105835</v>
      </c>
      <c r="F39" s="16">
        <v>8.9452000000000004E-2</v>
      </c>
      <c r="G39" s="16">
        <v>8.7140999999999996E-2</v>
      </c>
      <c r="H39" s="16">
        <v>8.6857000000000004E-2</v>
      </c>
      <c r="I39" s="16">
        <v>8.3275000000000002E-2</v>
      </c>
      <c r="J39" s="16">
        <v>8.3071999999999993E-2</v>
      </c>
      <c r="K39" s="16">
        <v>8.2864999999999994E-2</v>
      </c>
      <c r="L39" s="16">
        <v>8.2362000000000005E-2</v>
      </c>
      <c r="M39" s="16">
        <v>8.1852999999999995E-2</v>
      </c>
      <c r="N39" s="16">
        <v>8.2325999999999996E-2</v>
      </c>
      <c r="O39" s="16">
        <v>8.2197000000000006E-2</v>
      </c>
      <c r="P39" s="16">
        <v>8.2268999999999995E-2</v>
      </c>
      <c r="Q39" s="16">
        <v>8.2835000000000006E-2</v>
      </c>
      <c r="R39" s="16">
        <v>8.3345000000000002E-2</v>
      </c>
      <c r="S39" s="16">
        <v>8.4051000000000001E-2</v>
      </c>
      <c r="T39" s="16">
        <v>8.4168000000000007E-2</v>
      </c>
      <c r="U39" s="16">
        <v>8.3974999999999994E-2</v>
      </c>
      <c r="V39" s="16">
        <v>8.3718000000000001E-2</v>
      </c>
      <c r="W39" s="16">
        <v>8.3584000000000006E-2</v>
      </c>
      <c r="X39" s="16">
        <v>8.3339999999999997E-2</v>
      </c>
      <c r="Y39" s="16">
        <v>8.3316000000000001E-2</v>
      </c>
      <c r="Z39" s="16">
        <v>8.2771999999999998E-2</v>
      </c>
      <c r="AA39" s="16">
        <v>8.2502000000000006E-2</v>
      </c>
      <c r="AB39" s="16">
        <v>8.2590999999999998E-2</v>
      </c>
      <c r="AC39" s="16">
        <v>8.2042000000000004E-2</v>
      </c>
      <c r="AD39" s="16">
        <v>8.1822000000000006E-2</v>
      </c>
      <c r="AE39" s="16">
        <v>8.1717999999999999E-2</v>
      </c>
      <c r="AF39" s="16">
        <v>8.1296999999999994E-2</v>
      </c>
      <c r="AG39" s="16">
        <v>8.1084000000000003E-2</v>
      </c>
      <c r="AH39" s="16">
        <v>8.0389000000000002E-2</v>
      </c>
      <c r="AI39" s="16">
        <v>8.0923999999999996E-2</v>
      </c>
      <c r="AJ39" s="16">
        <v>7.8736E-2</v>
      </c>
      <c r="AK39" s="16">
        <v>8.0128000000000005E-2</v>
      </c>
      <c r="AL39" s="13">
        <v>-7.8709999999999995E-3</v>
      </c>
    </row>
    <row r="40" spans="1:38" ht="15" customHeight="1" x14ac:dyDescent="0.25">
      <c r="A40" s="7" t="s">
        <v>379</v>
      </c>
      <c r="B40" s="11" t="s">
        <v>373</v>
      </c>
      <c r="C40" s="16">
        <v>5.5027E-2</v>
      </c>
      <c r="D40" s="16">
        <v>5.1499999999999997E-2</v>
      </c>
      <c r="E40" s="16">
        <v>5.8400000000000001E-2</v>
      </c>
      <c r="F40" s="16">
        <v>6.1610999999999999E-2</v>
      </c>
      <c r="G40" s="16">
        <v>6.6120999999999999E-2</v>
      </c>
      <c r="H40" s="16">
        <v>6.4657999999999993E-2</v>
      </c>
      <c r="I40" s="16">
        <v>6.6458000000000003E-2</v>
      </c>
      <c r="J40" s="16">
        <v>6.6672999999999996E-2</v>
      </c>
      <c r="K40" s="16">
        <v>6.6949999999999996E-2</v>
      </c>
      <c r="L40" s="16">
        <v>6.7153000000000004E-2</v>
      </c>
      <c r="M40" s="16">
        <v>6.7557000000000006E-2</v>
      </c>
      <c r="N40" s="16">
        <v>6.7768999999999996E-2</v>
      </c>
      <c r="O40" s="16">
        <v>6.8075999999999998E-2</v>
      </c>
      <c r="P40" s="16">
        <v>6.8394999999999997E-2</v>
      </c>
      <c r="Q40" s="16">
        <v>6.8824999999999997E-2</v>
      </c>
      <c r="R40" s="16">
        <v>6.9181999999999994E-2</v>
      </c>
      <c r="S40" s="16">
        <v>6.9527000000000005E-2</v>
      </c>
      <c r="T40" s="16">
        <v>6.9898000000000002E-2</v>
      </c>
      <c r="U40" s="16">
        <v>7.0408999999999999E-2</v>
      </c>
      <c r="V40" s="16">
        <v>7.0892999999999998E-2</v>
      </c>
      <c r="W40" s="16">
        <v>7.1345000000000006E-2</v>
      </c>
      <c r="X40" s="16">
        <v>7.1680999999999995E-2</v>
      </c>
      <c r="Y40" s="16">
        <v>7.2120000000000004E-2</v>
      </c>
      <c r="Z40" s="16">
        <v>7.2442000000000006E-2</v>
      </c>
      <c r="AA40" s="16">
        <v>7.2835999999999998E-2</v>
      </c>
      <c r="AB40" s="16">
        <v>7.3347999999999997E-2</v>
      </c>
      <c r="AC40" s="16">
        <v>7.3666999999999996E-2</v>
      </c>
      <c r="AD40" s="16">
        <v>7.4075000000000002E-2</v>
      </c>
      <c r="AE40" s="16">
        <v>7.4480000000000005E-2</v>
      </c>
      <c r="AF40" s="16">
        <v>7.4773000000000006E-2</v>
      </c>
      <c r="AG40" s="16">
        <v>7.5163999999999995E-2</v>
      </c>
      <c r="AH40" s="16">
        <v>7.5596999999999998E-2</v>
      </c>
      <c r="AI40" s="16">
        <v>7.5925000000000006E-2</v>
      </c>
      <c r="AJ40" s="16">
        <v>7.6269000000000003E-2</v>
      </c>
      <c r="AK40" s="16">
        <v>7.6711000000000001E-2</v>
      </c>
      <c r="AL40" s="13">
        <v>1.2148000000000001E-2</v>
      </c>
    </row>
    <row r="41" spans="1:38" ht="15" customHeight="1" x14ac:dyDescent="0.25">
      <c r="A41" s="7" t="s">
        <v>380</v>
      </c>
      <c r="B41" s="11" t="s">
        <v>375</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6">
        <v>0</v>
      </c>
      <c r="AL41" s="13" t="s">
        <v>9</v>
      </c>
    </row>
    <row r="42" spans="1:38" ht="15" customHeight="1" x14ac:dyDescent="0.25">
      <c r="A42" s="7" t="s">
        <v>381</v>
      </c>
      <c r="B42" s="11" t="s">
        <v>382</v>
      </c>
      <c r="C42" s="16">
        <v>1.7936000000000001E-2</v>
      </c>
      <c r="D42" s="16">
        <v>2.5436E-2</v>
      </c>
      <c r="E42" s="16">
        <v>3.1525999999999998E-2</v>
      </c>
      <c r="F42" s="16">
        <v>3.9292000000000001E-2</v>
      </c>
      <c r="G42" s="16">
        <v>4.8419999999999998E-2</v>
      </c>
      <c r="H42" s="16">
        <v>4.8675000000000003E-2</v>
      </c>
      <c r="I42" s="16">
        <v>5.1951999999999998E-2</v>
      </c>
      <c r="J42" s="16">
        <v>5.289E-2</v>
      </c>
      <c r="K42" s="16">
        <v>5.3879000000000003E-2</v>
      </c>
      <c r="L42" s="16">
        <v>5.4468999999999997E-2</v>
      </c>
      <c r="M42" s="16">
        <v>5.5211000000000003E-2</v>
      </c>
      <c r="N42" s="16">
        <v>5.4986E-2</v>
      </c>
      <c r="O42" s="16">
        <v>6.1457999999999999E-2</v>
      </c>
      <c r="P42" s="16">
        <v>6.7279000000000005E-2</v>
      </c>
      <c r="Q42" s="16">
        <v>7.5955999999999996E-2</v>
      </c>
      <c r="R42" s="16">
        <v>8.8247999999999993E-2</v>
      </c>
      <c r="S42" s="16">
        <v>9.579E-2</v>
      </c>
      <c r="T42" s="16">
        <v>9.7872000000000001E-2</v>
      </c>
      <c r="U42" s="16">
        <v>9.8520999999999997E-2</v>
      </c>
      <c r="V42" s="16">
        <v>9.8964999999999997E-2</v>
      </c>
      <c r="W42" s="16">
        <v>9.9086999999999995E-2</v>
      </c>
      <c r="X42" s="16">
        <v>9.9334000000000006E-2</v>
      </c>
      <c r="Y42" s="16">
        <v>9.9346000000000004E-2</v>
      </c>
      <c r="Z42" s="16">
        <v>9.9846000000000004E-2</v>
      </c>
      <c r="AA42" s="16">
        <v>0.10009</v>
      </c>
      <c r="AB42" s="16">
        <v>0.100011</v>
      </c>
      <c r="AC42" s="16">
        <v>0.100506</v>
      </c>
      <c r="AD42" s="16">
        <v>9.9462999999999996E-2</v>
      </c>
      <c r="AE42" s="16">
        <v>9.9431000000000005E-2</v>
      </c>
      <c r="AF42" s="16">
        <v>8.4218000000000001E-2</v>
      </c>
      <c r="AG42" s="16">
        <v>6.9191000000000003E-2</v>
      </c>
      <c r="AH42" s="16">
        <v>5.6246999999999998E-2</v>
      </c>
      <c r="AI42" s="16">
        <v>5.5764000000000001E-2</v>
      </c>
      <c r="AJ42" s="16">
        <v>5.7734000000000001E-2</v>
      </c>
      <c r="AK42" s="16">
        <v>5.6025999999999999E-2</v>
      </c>
      <c r="AL42" s="13">
        <v>2.4216999999999999E-2</v>
      </c>
    </row>
    <row r="43" spans="1:38" ht="15" customHeight="1" x14ac:dyDescent="0.25">
      <c r="A43" s="7" t="s">
        <v>383</v>
      </c>
      <c r="B43" s="11" t="s">
        <v>371</v>
      </c>
      <c r="C43" s="16">
        <v>1.7936000000000001E-2</v>
      </c>
      <c r="D43" s="16">
        <v>2.5436E-2</v>
      </c>
      <c r="E43" s="16">
        <v>3.1525999999999998E-2</v>
      </c>
      <c r="F43" s="16">
        <v>3.9292000000000001E-2</v>
      </c>
      <c r="G43" s="16">
        <v>4.8419999999999998E-2</v>
      </c>
      <c r="H43" s="16">
        <v>4.8675000000000003E-2</v>
      </c>
      <c r="I43" s="16">
        <v>5.1951999999999998E-2</v>
      </c>
      <c r="J43" s="16">
        <v>5.289E-2</v>
      </c>
      <c r="K43" s="16">
        <v>5.3879000000000003E-2</v>
      </c>
      <c r="L43" s="16">
        <v>5.4468999999999997E-2</v>
      </c>
      <c r="M43" s="16">
        <v>5.5211000000000003E-2</v>
      </c>
      <c r="N43" s="16">
        <v>5.4986E-2</v>
      </c>
      <c r="O43" s="16">
        <v>6.1457999999999999E-2</v>
      </c>
      <c r="P43" s="16">
        <v>6.7279000000000005E-2</v>
      </c>
      <c r="Q43" s="16">
        <v>7.5955999999999996E-2</v>
      </c>
      <c r="R43" s="16">
        <v>8.8247999999999993E-2</v>
      </c>
      <c r="S43" s="16">
        <v>9.579E-2</v>
      </c>
      <c r="T43" s="16">
        <v>9.7872000000000001E-2</v>
      </c>
      <c r="U43" s="16">
        <v>9.8520999999999997E-2</v>
      </c>
      <c r="V43" s="16">
        <v>9.8964999999999997E-2</v>
      </c>
      <c r="W43" s="16">
        <v>9.9086999999999995E-2</v>
      </c>
      <c r="X43" s="16">
        <v>9.9334000000000006E-2</v>
      </c>
      <c r="Y43" s="16">
        <v>9.9346000000000004E-2</v>
      </c>
      <c r="Z43" s="16">
        <v>9.9846000000000004E-2</v>
      </c>
      <c r="AA43" s="16">
        <v>0.10009</v>
      </c>
      <c r="AB43" s="16">
        <v>0.100011</v>
      </c>
      <c r="AC43" s="16">
        <v>0.100506</v>
      </c>
      <c r="AD43" s="16">
        <v>9.9462999999999996E-2</v>
      </c>
      <c r="AE43" s="16">
        <v>9.9431000000000005E-2</v>
      </c>
      <c r="AF43" s="16">
        <v>8.4218000000000001E-2</v>
      </c>
      <c r="AG43" s="16">
        <v>6.9191000000000003E-2</v>
      </c>
      <c r="AH43" s="16">
        <v>5.6246999999999998E-2</v>
      </c>
      <c r="AI43" s="16">
        <v>5.5764000000000001E-2</v>
      </c>
      <c r="AJ43" s="16">
        <v>5.7734000000000001E-2</v>
      </c>
      <c r="AK43" s="16">
        <v>5.6025999999999999E-2</v>
      </c>
      <c r="AL43" s="13">
        <v>2.4216999999999999E-2</v>
      </c>
    </row>
    <row r="44" spans="1:38" ht="15" customHeight="1" x14ac:dyDescent="0.25">
      <c r="A44" s="7" t="s">
        <v>384</v>
      </c>
      <c r="B44" s="11" t="s">
        <v>373</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3" t="s">
        <v>9</v>
      </c>
    </row>
    <row r="45" spans="1:38" ht="15" customHeight="1" x14ac:dyDescent="0.25">
      <c r="A45" s="7" t="s">
        <v>385</v>
      </c>
      <c r="B45" s="11" t="s">
        <v>375</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3" t="s">
        <v>9</v>
      </c>
    </row>
    <row r="46" spans="1:38" ht="15" customHeight="1" x14ac:dyDescent="0.25">
      <c r="A46" s="7" t="s">
        <v>386</v>
      </c>
      <c r="B46" s="11" t="s">
        <v>387</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16">
        <v>0</v>
      </c>
      <c r="AD46" s="16">
        <v>0</v>
      </c>
      <c r="AE46" s="16">
        <v>0</v>
      </c>
      <c r="AF46" s="16">
        <v>0</v>
      </c>
      <c r="AG46" s="16">
        <v>0</v>
      </c>
      <c r="AH46" s="16">
        <v>0</v>
      </c>
      <c r="AI46" s="16">
        <v>0</v>
      </c>
      <c r="AJ46" s="16">
        <v>0</v>
      </c>
      <c r="AK46" s="16">
        <v>0</v>
      </c>
      <c r="AL46" s="13" t="s">
        <v>9</v>
      </c>
    </row>
    <row r="47" spans="1:38" ht="15" customHeight="1" x14ac:dyDescent="0.25">
      <c r="A47" s="7" t="s">
        <v>388</v>
      </c>
      <c r="B47" s="11" t="s">
        <v>389</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3" t="s">
        <v>9</v>
      </c>
    </row>
    <row r="48" spans="1:38" ht="15" customHeight="1" x14ac:dyDescent="0.25">
      <c r="A48" s="7" t="s">
        <v>390</v>
      </c>
      <c r="B48" s="11" t="s">
        <v>391</v>
      </c>
      <c r="C48" s="16">
        <v>0.218</v>
      </c>
      <c r="D48" s="16">
        <v>0.22500000000000001</v>
      </c>
      <c r="E48" s="16">
        <v>0.24399999999999999</v>
      </c>
      <c r="F48" s="16">
        <v>0.27558100000000002</v>
      </c>
      <c r="G48" s="16">
        <v>0.28998200000000002</v>
      </c>
      <c r="H48" s="16">
        <v>0.284524</v>
      </c>
      <c r="I48" s="16">
        <v>0.28602899999999998</v>
      </c>
      <c r="J48" s="16">
        <v>0.28578599999999998</v>
      </c>
      <c r="K48" s="16">
        <v>0.27304600000000001</v>
      </c>
      <c r="L48" s="16">
        <v>0.26908100000000001</v>
      </c>
      <c r="M48" s="16">
        <v>0.26440999999999998</v>
      </c>
      <c r="N48" s="16">
        <v>0.26758100000000001</v>
      </c>
      <c r="O48" s="16">
        <v>0.26718900000000001</v>
      </c>
      <c r="P48" s="16">
        <v>0.26504899999999998</v>
      </c>
      <c r="Q48" s="16">
        <v>0.26494800000000002</v>
      </c>
      <c r="R48" s="16">
        <v>0.26684400000000003</v>
      </c>
      <c r="S48" s="16">
        <v>0.26974799999999999</v>
      </c>
      <c r="T48" s="16">
        <v>0.271011</v>
      </c>
      <c r="U48" s="16">
        <v>0.27482499999999999</v>
      </c>
      <c r="V48" s="16">
        <v>0.28068900000000002</v>
      </c>
      <c r="W48" s="16">
        <v>0.27987000000000001</v>
      </c>
      <c r="X48" s="16">
        <v>0.28250700000000001</v>
      </c>
      <c r="Y48" s="16">
        <v>0.28694799999999998</v>
      </c>
      <c r="Z48" s="16">
        <v>0.290991</v>
      </c>
      <c r="AA48" s="16">
        <v>0.29327999999999999</v>
      </c>
      <c r="AB48" s="16">
        <v>0.29366900000000001</v>
      </c>
      <c r="AC48" s="16">
        <v>0.294547</v>
      </c>
      <c r="AD48" s="16">
        <v>0.29853200000000002</v>
      </c>
      <c r="AE48" s="16">
        <v>0.30014800000000003</v>
      </c>
      <c r="AF48" s="16">
        <v>0.30391400000000002</v>
      </c>
      <c r="AG48" s="16">
        <v>0.30599799999999999</v>
      </c>
      <c r="AH48" s="16">
        <v>0.30474699999999999</v>
      </c>
      <c r="AI48" s="16">
        <v>0.306363</v>
      </c>
      <c r="AJ48" s="16">
        <v>0.30621599999999999</v>
      </c>
      <c r="AK48" s="16">
        <v>0.30536799999999997</v>
      </c>
      <c r="AL48" s="13">
        <v>9.2980000000000007E-3</v>
      </c>
    </row>
    <row r="49" spans="1:38" ht="15" customHeight="1" x14ac:dyDescent="0.25"/>
    <row r="50" spans="1:38" ht="15" customHeight="1" x14ac:dyDescent="0.25">
      <c r="A50" s="7" t="s">
        <v>392</v>
      </c>
      <c r="B50" s="10" t="s">
        <v>393</v>
      </c>
      <c r="C50" s="17">
        <v>19.635211999999999</v>
      </c>
      <c r="D50" s="17">
        <v>20.025604000000001</v>
      </c>
      <c r="E50" s="17">
        <v>20.385483000000001</v>
      </c>
      <c r="F50" s="17">
        <v>20.350895000000001</v>
      </c>
      <c r="G50" s="17">
        <v>20.219906000000002</v>
      </c>
      <c r="H50" s="17">
        <v>20.132981999999998</v>
      </c>
      <c r="I50" s="17">
        <v>20.021460000000001</v>
      </c>
      <c r="J50" s="17">
        <v>19.901931999999999</v>
      </c>
      <c r="K50" s="17">
        <v>19.812135999999999</v>
      </c>
      <c r="L50" s="17">
        <v>19.640846</v>
      </c>
      <c r="M50" s="17">
        <v>19.476578</v>
      </c>
      <c r="N50" s="17">
        <v>19.381584</v>
      </c>
      <c r="O50" s="17">
        <v>19.320892000000001</v>
      </c>
      <c r="P50" s="17">
        <v>19.260183000000001</v>
      </c>
      <c r="Q50" s="17">
        <v>19.205155999999999</v>
      </c>
      <c r="R50" s="17">
        <v>19.175737000000002</v>
      </c>
      <c r="S50" s="17">
        <v>19.118509</v>
      </c>
      <c r="T50" s="17">
        <v>19.091011000000002</v>
      </c>
      <c r="U50" s="17">
        <v>19.055202000000001</v>
      </c>
      <c r="V50" s="17">
        <v>19.035693999999999</v>
      </c>
      <c r="W50" s="17">
        <v>19.047205000000002</v>
      </c>
      <c r="X50" s="17">
        <v>19.069012000000001</v>
      </c>
      <c r="Y50" s="17">
        <v>19.137356</v>
      </c>
      <c r="Z50" s="17">
        <v>19.166895</v>
      </c>
      <c r="AA50" s="17">
        <v>19.203628999999999</v>
      </c>
      <c r="AB50" s="17">
        <v>19.253564999999998</v>
      </c>
      <c r="AC50" s="17">
        <v>19.292449999999999</v>
      </c>
      <c r="AD50" s="17">
        <v>19.352271999999999</v>
      </c>
      <c r="AE50" s="17">
        <v>19.421431999999999</v>
      </c>
      <c r="AF50" s="17">
        <v>19.496029</v>
      </c>
      <c r="AG50" s="17">
        <v>19.579481000000001</v>
      </c>
      <c r="AH50" s="17">
        <v>19.685129</v>
      </c>
      <c r="AI50" s="17">
        <v>19.793970000000002</v>
      </c>
      <c r="AJ50" s="17">
        <v>19.901734999999999</v>
      </c>
      <c r="AK50" s="17">
        <v>20.014914000000001</v>
      </c>
      <c r="AL50" s="15">
        <v>-1.5999999999999999E-5</v>
      </c>
    </row>
    <row r="51" spans="1:38" ht="15" customHeight="1" x14ac:dyDescent="0.25"/>
    <row r="52" spans="1:38" ht="15" customHeight="1" x14ac:dyDescent="0.25"/>
    <row r="53" spans="1:38" ht="15" customHeight="1" x14ac:dyDescent="0.25">
      <c r="B53" s="10" t="s">
        <v>394</v>
      </c>
    </row>
    <row r="54" spans="1:38" ht="15" customHeight="1" x14ac:dyDescent="0.25">
      <c r="B54" s="10" t="s">
        <v>395</v>
      </c>
    </row>
    <row r="55" spans="1:38" ht="15" customHeight="1" x14ac:dyDescent="0.25">
      <c r="A55" s="7" t="s">
        <v>396</v>
      </c>
      <c r="B55" s="11" t="s">
        <v>397</v>
      </c>
      <c r="C55" s="16">
        <v>2.492</v>
      </c>
      <c r="D55" s="16">
        <v>2.6240000000000001</v>
      </c>
      <c r="E55" s="16">
        <v>2.871</v>
      </c>
      <c r="F55" s="16">
        <v>2.8365649999999998</v>
      </c>
      <c r="G55" s="16">
        <v>2.9568439999999998</v>
      </c>
      <c r="H55" s="16">
        <v>3.0417540000000001</v>
      </c>
      <c r="I55" s="16">
        <v>3.1283820000000002</v>
      </c>
      <c r="J55" s="16">
        <v>3.206696</v>
      </c>
      <c r="K55" s="16">
        <v>3.297955</v>
      </c>
      <c r="L55" s="16">
        <v>3.3379050000000001</v>
      </c>
      <c r="M55" s="16">
        <v>3.3662570000000001</v>
      </c>
      <c r="N55" s="16">
        <v>3.410072</v>
      </c>
      <c r="O55" s="16">
        <v>3.4679489999999999</v>
      </c>
      <c r="P55" s="16">
        <v>3.5152269999999999</v>
      </c>
      <c r="Q55" s="16">
        <v>3.5567150000000001</v>
      </c>
      <c r="R55" s="16">
        <v>3.592641</v>
      </c>
      <c r="S55" s="16">
        <v>3.6116570000000001</v>
      </c>
      <c r="T55" s="16">
        <v>3.6445020000000001</v>
      </c>
      <c r="U55" s="16">
        <v>3.6534930000000001</v>
      </c>
      <c r="V55" s="16">
        <v>3.660177</v>
      </c>
      <c r="W55" s="16">
        <v>3.6730520000000002</v>
      </c>
      <c r="X55" s="16">
        <v>3.7017720000000001</v>
      </c>
      <c r="Y55" s="16">
        <v>3.7470110000000001</v>
      </c>
      <c r="Z55" s="16">
        <v>3.7579549999999999</v>
      </c>
      <c r="AA55" s="16">
        <v>3.7614359999999998</v>
      </c>
      <c r="AB55" s="16">
        <v>3.771944</v>
      </c>
      <c r="AC55" s="16">
        <v>3.7663630000000001</v>
      </c>
      <c r="AD55" s="16">
        <v>3.767191</v>
      </c>
      <c r="AE55" s="16">
        <v>3.7696719999999999</v>
      </c>
      <c r="AF55" s="16">
        <v>3.773936</v>
      </c>
      <c r="AG55" s="16">
        <v>3.7724839999999999</v>
      </c>
      <c r="AH55" s="16">
        <v>3.7776770000000002</v>
      </c>
      <c r="AI55" s="16">
        <v>3.7808489999999999</v>
      </c>
      <c r="AJ55" s="16">
        <v>3.7819859999999998</v>
      </c>
      <c r="AK55" s="16">
        <v>3.7884000000000002</v>
      </c>
      <c r="AL55" s="13">
        <v>1.1191E-2</v>
      </c>
    </row>
    <row r="56" spans="1:38" ht="15" customHeight="1" x14ac:dyDescent="0.25">
      <c r="A56" s="7" t="s">
        <v>398</v>
      </c>
      <c r="B56" s="11" t="s">
        <v>399</v>
      </c>
      <c r="C56" s="16">
        <v>9.3170000000000002</v>
      </c>
      <c r="D56" s="16">
        <v>9.3160000000000007</v>
      </c>
      <c r="E56" s="16">
        <v>9.3620000000000001</v>
      </c>
      <c r="F56" s="16">
        <v>9.3340340000000008</v>
      </c>
      <c r="G56" s="16">
        <v>9.1480499999999996</v>
      </c>
      <c r="H56" s="16">
        <v>8.9404909999999997</v>
      </c>
      <c r="I56" s="16">
        <v>8.7199340000000003</v>
      </c>
      <c r="J56" s="16">
        <v>8.4878040000000006</v>
      </c>
      <c r="K56" s="16">
        <v>8.2413059999999998</v>
      </c>
      <c r="L56" s="16">
        <v>7.9989049999999997</v>
      </c>
      <c r="M56" s="16">
        <v>7.8034949999999998</v>
      </c>
      <c r="N56" s="16">
        <v>7.6318849999999996</v>
      </c>
      <c r="O56" s="16">
        <v>7.4785649999999997</v>
      </c>
      <c r="P56" s="16">
        <v>7.3385809999999996</v>
      </c>
      <c r="Q56" s="16">
        <v>7.2113670000000001</v>
      </c>
      <c r="R56" s="16">
        <v>7.0982149999999997</v>
      </c>
      <c r="S56" s="16">
        <v>6.9975290000000001</v>
      </c>
      <c r="T56" s="16">
        <v>6.9045189999999996</v>
      </c>
      <c r="U56" s="16">
        <v>6.8222769999999997</v>
      </c>
      <c r="V56" s="16">
        <v>6.7494139999999998</v>
      </c>
      <c r="W56" s="16">
        <v>6.6970159999999996</v>
      </c>
      <c r="X56" s="16">
        <v>6.647017</v>
      </c>
      <c r="Y56" s="16">
        <v>6.6077870000000001</v>
      </c>
      <c r="Z56" s="16">
        <v>6.5770759999999999</v>
      </c>
      <c r="AA56" s="16">
        <v>6.5584569999999998</v>
      </c>
      <c r="AB56" s="16">
        <v>6.5452839999999997</v>
      </c>
      <c r="AC56" s="16">
        <v>6.5405769999999999</v>
      </c>
      <c r="AD56" s="16">
        <v>6.5440420000000001</v>
      </c>
      <c r="AE56" s="16">
        <v>6.5560929999999997</v>
      </c>
      <c r="AF56" s="16">
        <v>6.5699129999999997</v>
      </c>
      <c r="AG56" s="16">
        <v>6.5926369999999999</v>
      </c>
      <c r="AH56" s="16">
        <v>6.623704</v>
      </c>
      <c r="AI56" s="16">
        <v>6.6637510000000004</v>
      </c>
      <c r="AJ56" s="16">
        <v>6.7105360000000003</v>
      </c>
      <c r="AK56" s="16">
        <v>6.7498969999999998</v>
      </c>
      <c r="AL56" s="13">
        <v>-9.7160000000000007E-3</v>
      </c>
    </row>
    <row r="57" spans="1:38" ht="15" customHeight="1" x14ac:dyDescent="0.25">
      <c r="A57" s="7" t="s">
        <v>400</v>
      </c>
      <c r="B57" s="11" t="s">
        <v>401</v>
      </c>
      <c r="C57" s="16">
        <v>5.7549999999999997E-3</v>
      </c>
      <c r="D57" s="16">
        <v>6.9610000000000002E-3</v>
      </c>
      <c r="E57" s="16">
        <v>2.6824000000000001E-2</v>
      </c>
      <c r="F57" s="16">
        <v>3.5004E-2</v>
      </c>
      <c r="G57" s="16">
        <v>4.1667999999999997E-2</v>
      </c>
      <c r="H57" s="16">
        <v>4.9387E-2</v>
      </c>
      <c r="I57" s="16">
        <v>6.2807000000000002E-2</v>
      </c>
      <c r="J57" s="16">
        <v>8.9934E-2</v>
      </c>
      <c r="K57" s="16">
        <v>0.11736000000000001</v>
      </c>
      <c r="L57" s="16">
        <v>0.14880399999999999</v>
      </c>
      <c r="M57" s="16">
        <v>0.155861</v>
      </c>
      <c r="N57" s="16">
        <v>0.17170299999999999</v>
      </c>
      <c r="O57" s="16">
        <v>0.17863399999999999</v>
      </c>
      <c r="P57" s="16">
        <v>0.183418</v>
      </c>
      <c r="Q57" s="16">
        <v>0.18857499999999999</v>
      </c>
      <c r="R57" s="16">
        <v>0.17999299999999999</v>
      </c>
      <c r="S57" s="16">
        <v>0.17943000000000001</v>
      </c>
      <c r="T57" s="16">
        <v>0.18726000000000001</v>
      </c>
      <c r="U57" s="16">
        <v>0.19559199999999999</v>
      </c>
      <c r="V57" s="16">
        <v>0.203539</v>
      </c>
      <c r="W57" s="16">
        <v>0.20705999999999999</v>
      </c>
      <c r="X57" s="16">
        <v>0.210448</v>
      </c>
      <c r="Y57" s="16">
        <v>0.21209</v>
      </c>
      <c r="Z57" s="16">
        <v>0.210897</v>
      </c>
      <c r="AA57" s="16">
        <v>0.20685000000000001</v>
      </c>
      <c r="AB57" s="16">
        <v>0.200906</v>
      </c>
      <c r="AC57" s="16">
        <v>0.19384100000000001</v>
      </c>
      <c r="AD57" s="16">
        <v>0.18645300000000001</v>
      </c>
      <c r="AE57" s="16">
        <v>0.173323</v>
      </c>
      <c r="AF57" s="16">
        <v>0.17499100000000001</v>
      </c>
      <c r="AG57" s="16">
        <v>0.17548</v>
      </c>
      <c r="AH57" s="16">
        <v>0.16919999999999999</v>
      </c>
      <c r="AI57" s="16">
        <v>0.145065</v>
      </c>
      <c r="AJ57" s="16">
        <v>0.117689</v>
      </c>
      <c r="AK57" s="16">
        <v>0.111334</v>
      </c>
      <c r="AL57" s="13">
        <v>8.7636000000000006E-2</v>
      </c>
    </row>
    <row r="58" spans="1:38" ht="15" customHeight="1" x14ac:dyDescent="0.25">
      <c r="A58" s="7" t="s">
        <v>402</v>
      </c>
      <c r="B58" s="11" t="s">
        <v>403</v>
      </c>
      <c r="C58" s="16">
        <v>1.6140000000000001</v>
      </c>
      <c r="D58" s="16">
        <v>1.66</v>
      </c>
      <c r="E58" s="16">
        <v>1.679</v>
      </c>
      <c r="F58" s="16">
        <v>1.7057610000000001</v>
      </c>
      <c r="G58" s="16">
        <v>1.7248920000000001</v>
      </c>
      <c r="H58" s="16">
        <v>1.7518629999999999</v>
      </c>
      <c r="I58" s="16">
        <v>1.777239</v>
      </c>
      <c r="J58" s="16">
        <v>1.7985279999999999</v>
      </c>
      <c r="K58" s="16">
        <v>1.823607</v>
      </c>
      <c r="L58" s="16">
        <v>1.8497840000000001</v>
      </c>
      <c r="M58" s="16">
        <v>1.8770260000000001</v>
      </c>
      <c r="N58" s="16">
        <v>1.9063559999999999</v>
      </c>
      <c r="O58" s="16">
        <v>1.9402470000000001</v>
      </c>
      <c r="P58" s="16">
        <v>1.974126</v>
      </c>
      <c r="Q58" s="16">
        <v>2.00644</v>
      </c>
      <c r="R58" s="16">
        <v>2.0384329999999999</v>
      </c>
      <c r="S58" s="16">
        <v>2.071561</v>
      </c>
      <c r="T58" s="16">
        <v>2.1033050000000002</v>
      </c>
      <c r="U58" s="16">
        <v>2.1351390000000001</v>
      </c>
      <c r="V58" s="16">
        <v>2.1672099999999999</v>
      </c>
      <c r="W58" s="16">
        <v>2.1994250000000002</v>
      </c>
      <c r="X58" s="16">
        <v>2.229981</v>
      </c>
      <c r="Y58" s="16">
        <v>2.261536</v>
      </c>
      <c r="Z58" s="16">
        <v>2.2934809999999999</v>
      </c>
      <c r="AA58" s="16">
        <v>2.3260160000000001</v>
      </c>
      <c r="AB58" s="16">
        <v>2.357637</v>
      </c>
      <c r="AC58" s="16">
        <v>2.3898570000000001</v>
      </c>
      <c r="AD58" s="16">
        <v>2.4225279999999998</v>
      </c>
      <c r="AE58" s="16">
        <v>2.4556079999999998</v>
      </c>
      <c r="AF58" s="16">
        <v>2.4894379999999998</v>
      </c>
      <c r="AG58" s="16">
        <v>2.5237189999999998</v>
      </c>
      <c r="AH58" s="16">
        <v>2.5580530000000001</v>
      </c>
      <c r="AI58" s="16">
        <v>2.5924239999999998</v>
      </c>
      <c r="AJ58" s="16">
        <v>2.6263489999999998</v>
      </c>
      <c r="AK58" s="16">
        <v>2.661848</v>
      </c>
      <c r="AL58" s="13">
        <v>1.4411999999999999E-2</v>
      </c>
    </row>
    <row r="59" spans="1:38" ht="15" customHeight="1" x14ac:dyDescent="0.25">
      <c r="A59" s="7" t="s">
        <v>404</v>
      </c>
      <c r="B59" s="11" t="s">
        <v>405</v>
      </c>
      <c r="C59" s="16">
        <v>3.8769999999999998</v>
      </c>
      <c r="D59" s="16">
        <v>3.9489999999999998</v>
      </c>
      <c r="E59" s="16">
        <v>4.0380000000000003</v>
      </c>
      <c r="F59" s="16">
        <v>4.0817030000000001</v>
      </c>
      <c r="G59" s="16">
        <v>4.0953299999999997</v>
      </c>
      <c r="H59" s="16">
        <v>4.0117380000000002</v>
      </c>
      <c r="I59" s="16">
        <v>4.009277</v>
      </c>
      <c r="J59" s="16">
        <v>4.0025750000000002</v>
      </c>
      <c r="K59" s="16">
        <v>3.9944540000000002</v>
      </c>
      <c r="L59" s="16">
        <v>3.978647</v>
      </c>
      <c r="M59" s="16">
        <v>3.9642499999999998</v>
      </c>
      <c r="N59" s="16">
        <v>3.9433560000000001</v>
      </c>
      <c r="O59" s="16">
        <v>3.9211290000000001</v>
      </c>
      <c r="P59" s="16">
        <v>3.898952</v>
      </c>
      <c r="Q59" s="16">
        <v>3.8816799999999998</v>
      </c>
      <c r="R59" s="16">
        <v>3.8645679999999998</v>
      </c>
      <c r="S59" s="16">
        <v>3.847969</v>
      </c>
      <c r="T59" s="16">
        <v>3.8329</v>
      </c>
      <c r="U59" s="16">
        <v>3.82674</v>
      </c>
      <c r="V59" s="16">
        <v>3.8271030000000001</v>
      </c>
      <c r="W59" s="16">
        <v>3.8325619999999998</v>
      </c>
      <c r="X59" s="16">
        <v>3.8365369999999999</v>
      </c>
      <c r="Y59" s="16">
        <v>3.8440750000000001</v>
      </c>
      <c r="Z59" s="16">
        <v>3.8510200000000001</v>
      </c>
      <c r="AA59" s="16">
        <v>3.8596509999999999</v>
      </c>
      <c r="AB59" s="16">
        <v>3.8751699999999998</v>
      </c>
      <c r="AC59" s="16">
        <v>3.8883260000000002</v>
      </c>
      <c r="AD59" s="16">
        <v>3.9038870000000001</v>
      </c>
      <c r="AE59" s="16">
        <v>3.9216549999999999</v>
      </c>
      <c r="AF59" s="16">
        <v>3.9352990000000001</v>
      </c>
      <c r="AG59" s="16">
        <v>3.9503879999999998</v>
      </c>
      <c r="AH59" s="16">
        <v>3.9684569999999999</v>
      </c>
      <c r="AI59" s="16">
        <v>3.984111</v>
      </c>
      <c r="AJ59" s="16">
        <v>3.998367</v>
      </c>
      <c r="AK59" s="16">
        <v>4.0154829999999997</v>
      </c>
      <c r="AL59" s="13">
        <v>5.0600000000000005E-4</v>
      </c>
    </row>
    <row r="60" spans="1:38" ht="15" customHeight="1" x14ac:dyDescent="0.25">
      <c r="A60" s="7" t="s">
        <v>406</v>
      </c>
      <c r="B60" s="11" t="s">
        <v>407</v>
      </c>
      <c r="C60" s="16">
        <v>3.6960000000000002</v>
      </c>
      <c r="D60" s="16">
        <v>3.7639999999999998</v>
      </c>
      <c r="E60" s="16">
        <v>3.8490000000000002</v>
      </c>
      <c r="F60" s="16">
        <v>3.6258940000000002</v>
      </c>
      <c r="G60" s="16">
        <v>3.6475019999999998</v>
      </c>
      <c r="H60" s="16">
        <v>3.5721889999999998</v>
      </c>
      <c r="I60" s="16">
        <v>3.5760139999999998</v>
      </c>
      <c r="J60" s="16">
        <v>3.5736080000000001</v>
      </c>
      <c r="K60" s="16">
        <v>3.568127</v>
      </c>
      <c r="L60" s="16">
        <v>3.5557439999999998</v>
      </c>
      <c r="M60" s="16">
        <v>3.5468500000000001</v>
      </c>
      <c r="N60" s="16">
        <v>3.5313479999999999</v>
      </c>
      <c r="O60" s="16">
        <v>3.5144669999999998</v>
      </c>
      <c r="P60" s="16">
        <v>3.4961630000000001</v>
      </c>
      <c r="Q60" s="16">
        <v>3.482494</v>
      </c>
      <c r="R60" s="16">
        <v>3.46983</v>
      </c>
      <c r="S60" s="16">
        <v>3.4566349999999999</v>
      </c>
      <c r="T60" s="16">
        <v>3.4449640000000001</v>
      </c>
      <c r="U60" s="16">
        <v>3.4414940000000001</v>
      </c>
      <c r="V60" s="16">
        <v>3.444267</v>
      </c>
      <c r="W60" s="16">
        <v>3.4516230000000001</v>
      </c>
      <c r="X60" s="16">
        <v>3.4581620000000002</v>
      </c>
      <c r="Y60" s="16">
        <v>3.4685700000000002</v>
      </c>
      <c r="Z60" s="16">
        <v>3.4772080000000001</v>
      </c>
      <c r="AA60" s="16">
        <v>3.4873560000000001</v>
      </c>
      <c r="AB60" s="16">
        <v>3.5046020000000002</v>
      </c>
      <c r="AC60" s="16">
        <v>3.519644</v>
      </c>
      <c r="AD60" s="16">
        <v>3.5366270000000002</v>
      </c>
      <c r="AE60" s="16">
        <v>3.5554450000000002</v>
      </c>
      <c r="AF60" s="16">
        <v>3.570497</v>
      </c>
      <c r="AG60" s="16">
        <v>3.586417</v>
      </c>
      <c r="AH60" s="16">
        <v>3.605146</v>
      </c>
      <c r="AI60" s="16">
        <v>3.6217519999999999</v>
      </c>
      <c r="AJ60" s="16">
        <v>3.6367159999999998</v>
      </c>
      <c r="AK60" s="16">
        <v>3.6545299999999998</v>
      </c>
      <c r="AL60" s="13">
        <v>-8.9400000000000005E-4</v>
      </c>
    </row>
    <row r="61" spans="1:38" ht="15" customHeight="1" x14ac:dyDescent="0.25">
      <c r="A61" s="7" t="s">
        <v>408</v>
      </c>
      <c r="B61" s="11" t="s">
        <v>409</v>
      </c>
      <c r="C61" s="16">
        <v>0.32600000000000001</v>
      </c>
      <c r="D61" s="16">
        <v>0.32900000000000001</v>
      </c>
      <c r="E61" s="16">
        <v>0.32300000000000001</v>
      </c>
      <c r="F61" s="16">
        <v>0.356657</v>
      </c>
      <c r="G61" s="16">
        <v>0.26749299999999998</v>
      </c>
      <c r="H61" s="16">
        <v>0.36703999999999998</v>
      </c>
      <c r="I61" s="16">
        <v>0.34697299999999998</v>
      </c>
      <c r="J61" s="16">
        <v>0.34030500000000002</v>
      </c>
      <c r="K61" s="16">
        <v>0.35455199999999998</v>
      </c>
      <c r="L61" s="16">
        <v>0.35735499999999998</v>
      </c>
      <c r="M61" s="16">
        <v>0.34571600000000002</v>
      </c>
      <c r="N61" s="16">
        <v>0.34604800000000002</v>
      </c>
      <c r="O61" s="16">
        <v>0.34536800000000001</v>
      </c>
      <c r="P61" s="16">
        <v>0.34385599999999999</v>
      </c>
      <c r="Q61" s="16">
        <v>0.34212399999999998</v>
      </c>
      <c r="R61" s="16">
        <v>0.339619</v>
      </c>
      <c r="S61" s="16">
        <v>0.33762999999999999</v>
      </c>
      <c r="T61" s="16">
        <v>0.335399</v>
      </c>
      <c r="U61" s="16">
        <v>0.33296100000000001</v>
      </c>
      <c r="V61" s="16">
        <v>0.33049899999999999</v>
      </c>
      <c r="W61" s="16">
        <v>0.329542</v>
      </c>
      <c r="X61" s="16">
        <v>0.32181199999999999</v>
      </c>
      <c r="Y61" s="16">
        <v>0.31896099999999999</v>
      </c>
      <c r="Z61" s="16">
        <v>0.314801</v>
      </c>
      <c r="AA61" s="16">
        <v>0.311141</v>
      </c>
      <c r="AB61" s="16">
        <v>0.305726</v>
      </c>
      <c r="AC61" s="16">
        <v>0.30315900000000001</v>
      </c>
      <c r="AD61" s="16">
        <v>0.30071599999999998</v>
      </c>
      <c r="AE61" s="16">
        <v>0.29932900000000001</v>
      </c>
      <c r="AF61" s="16">
        <v>0.298097</v>
      </c>
      <c r="AG61" s="16">
        <v>0.30021900000000001</v>
      </c>
      <c r="AH61" s="16">
        <v>0.299821</v>
      </c>
      <c r="AI61" s="16">
        <v>0.29746499999999998</v>
      </c>
      <c r="AJ61" s="16">
        <v>0.29594399999999998</v>
      </c>
      <c r="AK61" s="16">
        <v>0.293153</v>
      </c>
      <c r="AL61" s="13">
        <v>-3.49E-3</v>
      </c>
    </row>
    <row r="62" spans="1:38" ht="15" customHeight="1" x14ac:dyDescent="0.25">
      <c r="A62" s="7" t="s">
        <v>410</v>
      </c>
      <c r="B62" s="11" t="s">
        <v>411</v>
      </c>
      <c r="C62" s="16">
        <v>2.012</v>
      </c>
      <c r="D62" s="16">
        <v>2.0129999999999999</v>
      </c>
      <c r="E62" s="16">
        <v>2.052</v>
      </c>
      <c r="F62" s="16">
        <v>2.0677759999999998</v>
      </c>
      <c r="G62" s="16">
        <v>2.0581140000000002</v>
      </c>
      <c r="H62" s="16">
        <v>2.0503119999999999</v>
      </c>
      <c r="I62" s="16">
        <v>2.0704739999999999</v>
      </c>
      <c r="J62" s="16">
        <v>2.0973449999999998</v>
      </c>
      <c r="K62" s="16">
        <v>2.1291699999999998</v>
      </c>
      <c r="L62" s="16">
        <v>2.1466470000000002</v>
      </c>
      <c r="M62" s="16">
        <v>2.1478920000000001</v>
      </c>
      <c r="N62" s="16">
        <v>2.1728809999999998</v>
      </c>
      <c r="O62" s="16">
        <v>2.1965669999999999</v>
      </c>
      <c r="P62" s="16">
        <v>2.217727</v>
      </c>
      <c r="Q62" s="16">
        <v>2.2352189999999998</v>
      </c>
      <c r="R62" s="16">
        <v>2.271077</v>
      </c>
      <c r="S62" s="16">
        <v>2.2816740000000002</v>
      </c>
      <c r="T62" s="16">
        <v>2.3002509999999998</v>
      </c>
      <c r="U62" s="16">
        <v>2.3155830000000002</v>
      </c>
      <c r="V62" s="16">
        <v>2.333647</v>
      </c>
      <c r="W62" s="16">
        <v>2.3475670000000002</v>
      </c>
      <c r="X62" s="16">
        <v>2.3645360000000002</v>
      </c>
      <c r="Y62" s="16">
        <v>2.391613</v>
      </c>
      <c r="Z62" s="16">
        <v>2.4069500000000001</v>
      </c>
      <c r="AA62" s="16">
        <v>2.4218039999999998</v>
      </c>
      <c r="AB62" s="16">
        <v>2.4327380000000001</v>
      </c>
      <c r="AC62" s="16">
        <v>2.4395600000000002</v>
      </c>
      <c r="AD62" s="16">
        <v>2.4502959999999998</v>
      </c>
      <c r="AE62" s="16">
        <v>2.4562729999999999</v>
      </c>
      <c r="AF62" s="16">
        <v>2.4678330000000002</v>
      </c>
      <c r="AG62" s="16">
        <v>2.4793919999999998</v>
      </c>
      <c r="AH62" s="16">
        <v>2.4966020000000002</v>
      </c>
      <c r="AI62" s="16">
        <v>2.514869</v>
      </c>
      <c r="AJ62" s="16">
        <v>2.5284140000000002</v>
      </c>
      <c r="AK62" s="16">
        <v>2.5461309999999999</v>
      </c>
      <c r="AL62" s="13">
        <v>7.1450000000000003E-3</v>
      </c>
    </row>
    <row r="63" spans="1:38" ht="15" customHeight="1" x14ac:dyDescent="0.25">
      <c r="B63" s="10" t="s">
        <v>412</v>
      </c>
    </row>
    <row r="64" spans="1:38" ht="15" customHeight="1" x14ac:dyDescent="0.25">
      <c r="A64" s="7" t="s">
        <v>413</v>
      </c>
      <c r="B64" s="11" t="s">
        <v>414</v>
      </c>
      <c r="C64" s="16">
        <v>0.99833799999999995</v>
      </c>
      <c r="D64" s="16">
        <v>1.0736410000000001</v>
      </c>
      <c r="E64" s="16">
        <v>1.115229</v>
      </c>
      <c r="F64" s="16">
        <v>1.0713140000000001</v>
      </c>
      <c r="G64" s="16">
        <v>1.0251140000000001</v>
      </c>
      <c r="H64" s="16">
        <v>0.998031</v>
      </c>
      <c r="I64" s="16">
        <v>0.98026500000000005</v>
      </c>
      <c r="J64" s="16">
        <v>0.96958999999999995</v>
      </c>
      <c r="K64" s="16">
        <v>0.95953299999999997</v>
      </c>
      <c r="L64" s="16">
        <v>0.95340100000000005</v>
      </c>
      <c r="M64" s="16">
        <v>0.94750100000000004</v>
      </c>
      <c r="N64" s="16">
        <v>0.94156200000000001</v>
      </c>
      <c r="O64" s="16">
        <v>0.93517799999999995</v>
      </c>
      <c r="P64" s="16">
        <v>0.92732300000000001</v>
      </c>
      <c r="Q64" s="16">
        <v>0.92144700000000002</v>
      </c>
      <c r="R64" s="16">
        <v>0.91463099999999997</v>
      </c>
      <c r="S64" s="16">
        <v>0.90866000000000002</v>
      </c>
      <c r="T64" s="16">
        <v>0.90270899999999998</v>
      </c>
      <c r="U64" s="16">
        <v>0.89698</v>
      </c>
      <c r="V64" s="16">
        <v>0.89187899999999998</v>
      </c>
      <c r="W64" s="16">
        <v>0.88737900000000003</v>
      </c>
      <c r="X64" s="16">
        <v>0.88134699999999999</v>
      </c>
      <c r="Y64" s="16">
        <v>0.87625600000000003</v>
      </c>
      <c r="Z64" s="16">
        <v>0.87172400000000005</v>
      </c>
      <c r="AA64" s="16">
        <v>0.86780599999999997</v>
      </c>
      <c r="AB64" s="16">
        <v>0.86401099999999997</v>
      </c>
      <c r="AC64" s="16">
        <v>0.86095200000000005</v>
      </c>
      <c r="AD64" s="16">
        <v>0.85819100000000004</v>
      </c>
      <c r="AE64" s="16">
        <v>0.85608899999999999</v>
      </c>
      <c r="AF64" s="16">
        <v>0.85371399999999997</v>
      </c>
      <c r="AG64" s="16">
        <v>0.85241999999999996</v>
      </c>
      <c r="AH64" s="16">
        <v>0.85028099999999995</v>
      </c>
      <c r="AI64" s="16">
        <v>0.84783200000000003</v>
      </c>
      <c r="AJ64" s="16">
        <v>0.84588300000000005</v>
      </c>
      <c r="AK64" s="16">
        <v>0.84400200000000003</v>
      </c>
      <c r="AL64" s="13">
        <v>-7.2659999999999999E-3</v>
      </c>
    </row>
    <row r="65" spans="1:38" ht="15" customHeight="1" x14ac:dyDescent="0.25">
      <c r="A65" s="7" t="s">
        <v>415</v>
      </c>
      <c r="B65" s="11" t="s">
        <v>416</v>
      </c>
      <c r="C65" s="16">
        <v>4.5967039999999999</v>
      </c>
      <c r="D65" s="16">
        <v>4.7151249999999996</v>
      </c>
      <c r="E65" s="16">
        <v>5.0570560000000002</v>
      </c>
      <c r="F65" s="16">
        <v>5.147564</v>
      </c>
      <c r="G65" s="16">
        <v>5.2650220000000001</v>
      </c>
      <c r="H65" s="16">
        <v>5.3485670000000001</v>
      </c>
      <c r="I65" s="16">
        <v>5.4617149999999999</v>
      </c>
      <c r="J65" s="16">
        <v>5.5756670000000002</v>
      </c>
      <c r="K65" s="16">
        <v>5.709193</v>
      </c>
      <c r="L65" s="16">
        <v>5.7732419999999998</v>
      </c>
      <c r="M65" s="16">
        <v>5.8093510000000004</v>
      </c>
      <c r="N65" s="16">
        <v>5.8840479999999999</v>
      </c>
      <c r="O65" s="16">
        <v>5.9717070000000003</v>
      </c>
      <c r="P65" s="16">
        <v>6.0457029999999996</v>
      </c>
      <c r="Q65" s="16">
        <v>6.1098629999999998</v>
      </c>
      <c r="R65" s="16">
        <v>6.1878380000000002</v>
      </c>
      <c r="S65" s="16">
        <v>6.2226590000000002</v>
      </c>
      <c r="T65" s="16">
        <v>6.2784009999999997</v>
      </c>
      <c r="U65" s="16">
        <v>6.3088639999999998</v>
      </c>
      <c r="V65" s="16">
        <v>6.3400090000000002</v>
      </c>
      <c r="W65" s="16">
        <v>6.3736220000000001</v>
      </c>
      <c r="X65" s="16">
        <v>6.4254709999999999</v>
      </c>
      <c r="Y65" s="16">
        <v>6.5059969999999998</v>
      </c>
      <c r="Z65" s="16">
        <v>6.5388979999999997</v>
      </c>
      <c r="AA65" s="16">
        <v>6.5645100000000003</v>
      </c>
      <c r="AB65" s="16">
        <v>6.5939259999999997</v>
      </c>
      <c r="AC65" s="16">
        <v>6.6016579999999996</v>
      </c>
      <c r="AD65" s="16">
        <v>6.6203849999999997</v>
      </c>
      <c r="AE65" s="16">
        <v>6.6359589999999997</v>
      </c>
      <c r="AF65" s="16">
        <v>6.6580839999999997</v>
      </c>
      <c r="AG65" s="16">
        <v>6.675014</v>
      </c>
      <c r="AH65" s="16">
        <v>6.7046109999999999</v>
      </c>
      <c r="AI65" s="16">
        <v>6.7325439999999999</v>
      </c>
      <c r="AJ65" s="16">
        <v>6.7531610000000004</v>
      </c>
      <c r="AK65" s="16">
        <v>6.7837170000000002</v>
      </c>
      <c r="AL65" s="13">
        <v>1.1084E-2</v>
      </c>
    </row>
    <row r="66" spans="1:38" ht="15" customHeight="1" x14ac:dyDescent="0.25">
      <c r="A66" s="7" t="s">
        <v>417</v>
      </c>
      <c r="B66" s="11" t="s">
        <v>418</v>
      </c>
      <c r="C66" s="16">
        <v>13.823664000000001</v>
      </c>
      <c r="D66" s="16">
        <v>13.901876</v>
      </c>
      <c r="E66" s="16">
        <v>13.853042</v>
      </c>
      <c r="F66" s="16">
        <v>13.841112000000001</v>
      </c>
      <c r="G66" s="16">
        <v>13.676442</v>
      </c>
      <c r="H66" s="16">
        <v>13.527562</v>
      </c>
      <c r="I66" s="16">
        <v>13.318396</v>
      </c>
      <c r="J66" s="16">
        <v>13.093102</v>
      </c>
      <c r="K66" s="16">
        <v>12.872933</v>
      </c>
      <c r="L66" s="16">
        <v>12.639574</v>
      </c>
      <c r="M66" s="16">
        <v>12.443592000000001</v>
      </c>
      <c r="N66" s="16">
        <v>12.277939999999999</v>
      </c>
      <c r="O66" s="16">
        <v>12.132006000000001</v>
      </c>
      <c r="P66" s="16">
        <v>11.998977999999999</v>
      </c>
      <c r="Q66" s="16">
        <v>11.880898999999999</v>
      </c>
      <c r="R66" s="16">
        <v>11.777027</v>
      </c>
      <c r="S66" s="16">
        <v>11.686018000000001</v>
      </c>
      <c r="T66" s="16">
        <v>11.603766999999999</v>
      </c>
      <c r="U66" s="16">
        <v>11.539142</v>
      </c>
      <c r="V66" s="16">
        <v>11.489774000000001</v>
      </c>
      <c r="W66" s="16">
        <v>11.466623999999999</v>
      </c>
      <c r="X66" s="16">
        <v>11.438961000000001</v>
      </c>
      <c r="Y66" s="16">
        <v>11.42919</v>
      </c>
      <c r="Z66" s="16">
        <v>11.426133999999999</v>
      </c>
      <c r="AA66" s="16">
        <v>11.436292999999999</v>
      </c>
      <c r="AB66" s="16">
        <v>11.45716</v>
      </c>
      <c r="AC66" s="16">
        <v>11.488324</v>
      </c>
      <c r="AD66" s="16">
        <v>11.529298000000001</v>
      </c>
      <c r="AE66" s="16">
        <v>11.581985</v>
      </c>
      <c r="AF66" s="16">
        <v>11.634369</v>
      </c>
      <c r="AG66" s="16">
        <v>11.697592999999999</v>
      </c>
      <c r="AH66" s="16">
        <v>11.770038</v>
      </c>
      <c r="AI66" s="16">
        <v>11.847778999999999</v>
      </c>
      <c r="AJ66" s="16">
        <v>11.93228</v>
      </c>
      <c r="AK66" s="16">
        <v>12.011240000000001</v>
      </c>
      <c r="AL66" s="13">
        <v>-4.4200000000000003E-3</v>
      </c>
    </row>
    <row r="67" spans="1:38" ht="15" customHeight="1" x14ac:dyDescent="0.25">
      <c r="A67" s="7" t="s">
        <v>419</v>
      </c>
      <c r="B67" s="11" t="s">
        <v>420</v>
      </c>
      <c r="C67" s="16">
        <v>0.112274</v>
      </c>
      <c r="D67" s="16">
        <v>8.8497000000000006E-2</v>
      </c>
      <c r="E67" s="16">
        <v>8.6453000000000002E-2</v>
      </c>
      <c r="F67" s="16">
        <v>6.8584999999999993E-2</v>
      </c>
      <c r="G67" s="16">
        <v>6.6977999999999996E-2</v>
      </c>
      <c r="H67" s="16">
        <v>6.5447000000000005E-2</v>
      </c>
      <c r="I67" s="16">
        <v>6.4302999999999999E-2</v>
      </c>
      <c r="J67" s="16">
        <v>6.3820000000000002E-2</v>
      </c>
      <c r="K67" s="16">
        <v>6.3974000000000003E-2</v>
      </c>
      <c r="L67" s="16">
        <v>6.2996999999999997E-2</v>
      </c>
      <c r="M67" s="16">
        <v>5.9885000000000001E-2</v>
      </c>
      <c r="N67" s="16">
        <v>5.7451000000000002E-2</v>
      </c>
      <c r="O67" s="16">
        <v>5.5240999999999998E-2</v>
      </c>
      <c r="P67" s="16">
        <v>5.4607000000000003E-2</v>
      </c>
      <c r="Q67" s="16">
        <v>5.3649000000000002E-2</v>
      </c>
      <c r="R67" s="16">
        <v>5.1622000000000001E-2</v>
      </c>
      <c r="S67" s="16">
        <v>5.1261000000000001E-2</v>
      </c>
      <c r="T67" s="16">
        <v>5.0941E-2</v>
      </c>
      <c r="U67" s="16">
        <v>5.0743000000000003E-2</v>
      </c>
      <c r="V67" s="16">
        <v>5.0577999999999998E-2</v>
      </c>
      <c r="W67" s="16">
        <v>5.0469E-2</v>
      </c>
      <c r="X67" s="16">
        <v>4.9854000000000002E-2</v>
      </c>
      <c r="Y67" s="16">
        <v>4.8419999999999998E-2</v>
      </c>
      <c r="Z67" s="16">
        <v>4.8219999999999999E-2</v>
      </c>
      <c r="AA67" s="16">
        <v>4.8288999999999999E-2</v>
      </c>
      <c r="AB67" s="16">
        <v>4.6745000000000002E-2</v>
      </c>
      <c r="AC67" s="16">
        <v>4.5161E-2</v>
      </c>
      <c r="AD67" s="16">
        <v>4.3874999999999997E-2</v>
      </c>
      <c r="AE67" s="16">
        <v>4.2535000000000003E-2</v>
      </c>
      <c r="AF67" s="16">
        <v>4.0883000000000003E-2</v>
      </c>
      <c r="AG67" s="16">
        <v>4.0855000000000002E-2</v>
      </c>
      <c r="AH67" s="16">
        <v>4.1022999999999997E-2</v>
      </c>
      <c r="AI67" s="16">
        <v>4.1413999999999999E-2</v>
      </c>
      <c r="AJ67" s="16">
        <v>4.0930000000000001E-2</v>
      </c>
      <c r="AK67" s="16">
        <v>4.0955999999999999E-2</v>
      </c>
      <c r="AL67" s="13">
        <v>-2.3077E-2</v>
      </c>
    </row>
    <row r="68" spans="1:38" ht="15" customHeight="1" x14ac:dyDescent="0.25">
      <c r="A68" s="7" t="s">
        <v>421</v>
      </c>
      <c r="B68" s="11" t="s">
        <v>422</v>
      </c>
      <c r="C68" s="16">
        <v>7.3542999999999997E-2</v>
      </c>
      <c r="D68" s="16">
        <v>7.306E-2</v>
      </c>
      <c r="E68" s="16">
        <v>0.28703600000000001</v>
      </c>
      <c r="F68" s="16">
        <v>0.251693</v>
      </c>
      <c r="G68" s="16">
        <v>0.21471199999999999</v>
      </c>
      <c r="H68" s="16">
        <v>0.221358</v>
      </c>
      <c r="I68" s="16">
        <v>0.225436</v>
      </c>
      <c r="J68" s="16">
        <v>0.22891400000000001</v>
      </c>
      <c r="K68" s="16">
        <v>0.233151</v>
      </c>
      <c r="L68" s="16">
        <v>0.237705</v>
      </c>
      <c r="M68" s="16">
        <v>0.242419</v>
      </c>
      <c r="N68" s="16">
        <v>0.24770200000000001</v>
      </c>
      <c r="O68" s="16">
        <v>0.253853</v>
      </c>
      <c r="P68" s="16">
        <v>0.260023</v>
      </c>
      <c r="Q68" s="16">
        <v>0.26581700000000003</v>
      </c>
      <c r="R68" s="16">
        <v>0.27157100000000001</v>
      </c>
      <c r="S68" s="16">
        <v>0.27750999999999998</v>
      </c>
      <c r="T68" s="16">
        <v>0.28315699999999999</v>
      </c>
      <c r="U68" s="16">
        <v>0.288636</v>
      </c>
      <c r="V68" s="16">
        <v>0.29399599999999998</v>
      </c>
      <c r="W68" s="16">
        <v>0.299286</v>
      </c>
      <c r="X68" s="16">
        <v>0.30431999999999998</v>
      </c>
      <c r="Y68" s="16">
        <v>0.309452</v>
      </c>
      <c r="Z68" s="16">
        <v>0.314693</v>
      </c>
      <c r="AA68" s="16">
        <v>0.32003300000000001</v>
      </c>
      <c r="AB68" s="16">
        <v>0.32504</v>
      </c>
      <c r="AC68" s="16">
        <v>0.33019199999999999</v>
      </c>
      <c r="AD68" s="16">
        <v>0.33539200000000002</v>
      </c>
      <c r="AE68" s="16">
        <v>0.34063500000000002</v>
      </c>
      <c r="AF68" s="16">
        <v>0.34608499999999998</v>
      </c>
      <c r="AG68" s="16">
        <v>0.35161599999999998</v>
      </c>
      <c r="AH68" s="16">
        <v>0.35709800000000003</v>
      </c>
      <c r="AI68" s="16">
        <v>0.36266399999999999</v>
      </c>
      <c r="AJ68" s="16">
        <v>0.368201</v>
      </c>
      <c r="AK68" s="16">
        <v>0.37390699999999999</v>
      </c>
      <c r="AL68" s="13">
        <v>5.0721000000000002E-2</v>
      </c>
    </row>
    <row r="69" spans="1:38" ht="15" customHeight="1" x14ac:dyDescent="0.25">
      <c r="A69" s="7" t="s">
        <v>423</v>
      </c>
      <c r="B69" s="10" t="s">
        <v>424</v>
      </c>
      <c r="C69" s="17">
        <v>19.638002</v>
      </c>
      <c r="D69" s="17">
        <v>19.891000999999999</v>
      </c>
      <c r="E69" s="17">
        <v>20.325001</v>
      </c>
      <c r="F69" s="17">
        <v>20.382496</v>
      </c>
      <c r="G69" s="17">
        <v>20.250720999999999</v>
      </c>
      <c r="H69" s="17">
        <v>20.163198000000001</v>
      </c>
      <c r="I69" s="17">
        <v>20.052278999999999</v>
      </c>
      <c r="J69" s="17">
        <v>19.933254000000002</v>
      </c>
      <c r="K69" s="17">
        <v>19.841042999999999</v>
      </c>
      <c r="L69" s="17">
        <v>19.669243000000002</v>
      </c>
      <c r="M69" s="17">
        <v>19.504636999999999</v>
      </c>
      <c r="N69" s="17">
        <v>19.410596999999999</v>
      </c>
      <c r="O69" s="17">
        <v>19.349824999999999</v>
      </c>
      <c r="P69" s="17">
        <v>19.288468999999999</v>
      </c>
      <c r="Q69" s="17">
        <v>19.233543000000001</v>
      </c>
      <c r="R69" s="17">
        <v>19.204552</v>
      </c>
      <c r="S69" s="17">
        <v>19.148019999999999</v>
      </c>
      <c r="T69" s="17">
        <v>19.120875999999999</v>
      </c>
      <c r="U69" s="17">
        <v>19.086190999999999</v>
      </c>
      <c r="V69" s="17">
        <v>19.068049999999999</v>
      </c>
      <c r="W69" s="17">
        <v>19.079163000000001</v>
      </c>
      <c r="X69" s="17">
        <v>19.101655999999998</v>
      </c>
      <c r="Y69" s="17">
        <v>19.170985999999999</v>
      </c>
      <c r="Z69" s="17">
        <v>19.201283</v>
      </c>
      <c r="AA69" s="17">
        <v>19.238506000000001</v>
      </c>
      <c r="AB69" s="17">
        <v>19.288499999999999</v>
      </c>
      <c r="AC69" s="17">
        <v>19.327840999999999</v>
      </c>
      <c r="AD69" s="17">
        <v>19.388660000000002</v>
      </c>
      <c r="AE69" s="17">
        <v>19.458632000000001</v>
      </c>
      <c r="AF69" s="17">
        <v>19.534514999999999</v>
      </c>
      <c r="AG69" s="17">
        <v>19.618836999999999</v>
      </c>
      <c r="AH69" s="17">
        <v>19.724312000000001</v>
      </c>
      <c r="AI69" s="17">
        <v>19.833466999999999</v>
      </c>
      <c r="AJ69" s="17">
        <v>19.941597000000002</v>
      </c>
      <c r="AK69" s="17">
        <v>20.054912999999999</v>
      </c>
      <c r="AL69" s="15">
        <v>2.4899999999999998E-4</v>
      </c>
    </row>
    <row r="71" spans="1:38" ht="15" customHeight="1" x14ac:dyDescent="0.25">
      <c r="A71" s="7" t="s">
        <v>425</v>
      </c>
      <c r="B71" s="11" t="s">
        <v>426</v>
      </c>
      <c r="C71" s="16">
        <v>-2.7899999999999999E-3</v>
      </c>
      <c r="D71" s="16">
        <v>0.134604</v>
      </c>
      <c r="E71" s="16">
        <v>6.0482000000000001E-2</v>
      </c>
      <c r="F71" s="16">
        <v>-3.1600999999999997E-2</v>
      </c>
      <c r="G71" s="16">
        <v>-3.0814999999999999E-2</v>
      </c>
      <c r="H71" s="16">
        <v>-3.0216E-2</v>
      </c>
      <c r="I71" s="16">
        <v>-3.0818999999999999E-2</v>
      </c>
      <c r="J71" s="16">
        <v>-3.1322000000000003E-2</v>
      </c>
      <c r="K71" s="16">
        <v>-2.8908E-2</v>
      </c>
      <c r="L71" s="16">
        <v>-2.8396999999999999E-2</v>
      </c>
      <c r="M71" s="16">
        <v>-2.8059000000000001E-2</v>
      </c>
      <c r="N71" s="16">
        <v>-2.9013000000000001E-2</v>
      </c>
      <c r="O71" s="16">
        <v>-2.8933E-2</v>
      </c>
      <c r="P71" s="16">
        <v>-2.8285999999999999E-2</v>
      </c>
      <c r="Q71" s="16">
        <v>-2.8386999999999999E-2</v>
      </c>
      <c r="R71" s="16">
        <v>-2.8813999999999999E-2</v>
      </c>
      <c r="S71" s="16">
        <v>-2.9510000000000002E-2</v>
      </c>
      <c r="T71" s="16">
        <v>-2.9864999999999999E-2</v>
      </c>
      <c r="U71" s="16">
        <v>-3.0988999999999999E-2</v>
      </c>
      <c r="V71" s="16">
        <v>-3.2356000000000003E-2</v>
      </c>
      <c r="W71" s="16">
        <v>-3.1958E-2</v>
      </c>
      <c r="X71" s="16">
        <v>-3.2643999999999999E-2</v>
      </c>
      <c r="Y71" s="16">
        <v>-3.363E-2</v>
      </c>
      <c r="Z71" s="16">
        <v>-3.4388000000000002E-2</v>
      </c>
      <c r="AA71" s="16">
        <v>-3.4877999999999999E-2</v>
      </c>
      <c r="AB71" s="16">
        <v>-3.4935000000000001E-2</v>
      </c>
      <c r="AC71" s="16">
        <v>-3.5390999999999999E-2</v>
      </c>
      <c r="AD71" s="16">
        <v>-3.6387999999999997E-2</v>
      </c>
      <c r="AE71" s="16">
        <v>-3.7199000000000003E-2</v>
      </c>
      <c r="AF71" s="16">
        <v>-3.8485999999999999E-2</v>
      </c>
      <c r="AG71" s="16">
        <v>-3.9356000000000002E-2</v>
      </c>
      <c r="AH71" s="16">
        <v>-3.9183000000000003E-2</v>
      </c>
      <c r="AI71" s="16">
        <v>-3.9496999999999997E-2</v>
      </c>
      <c r="AJ71" s="16">
        <v>-3.9862000000000002E-2</v>
      </c>
      <c r="AK71" s="16">
        <v>-3.9999E-2</v>
      </c>
      <c r="AL71" s="13" t="s">
        <v>9</v>
      </c>
    </row>
    <row r="73" spans="1:38" ht="15" customHeight="1" x14ac:dyDescent="0.25">
      <c r="A73" s="7" t="s">
        <v>427</v>
      </c>
      <c r="B73" s="11" t="s">
        <v>428</v>
      </c>
      <c r="C73" s="64">
        <v>18.402000000000001</v>
      </c>
      <c r="D73" s="64">
        <v>18.584999</v>
      </c>
      <c r="E73" s="64">
        <v>19</v>
      </c>
      <c r="F73" s="64">
        <v>19.175667000000001</v>
      </c>
      <c r="G73" s="64">
        <v>19.300136999999999</v>
      </c>
      <c r="H73" s="64">
        <v>19.424606000000001</v>
      </c>
      <c r="I73" s="64">
        <v>19.547369</v>
      </c>
      <c r="J73" s="64">
        <v>19.547369</v>
      </c>
      <c r="K73" s="64">
        <v>19.547369</v>
      </c>
      <c r="L73" s="64">
        <v>19.547369</v>
      </c>
      <c r="M73" s="64">
        <v>19.547369</v>
      </c>
      <c r="N73" s="64">
        <v>19.547369</v>
      </c>
      <c r="O73" s="64">
        <v>19.547369</v>
      </c>
      <c r="P73" s="64">
        <v>19.547369</v>
      </c>
      <c r="Q73" s="64">
        <v>19.547369</v>
      </c>
      <c r="R73" s="64">
        <v>19.547369</v>
      </c>
      <c r="S73" s="64">
        <v>19.547369</v>
      </c>
      <c r="T73" s="64">
        <v>19.547369</v>
      </c>
      <c r="U73" s="64">
        <v>19.547369</v>
      </c>
      <c r="V73" s="64">
        <v>19.547369</v>
      </c>
      <c r="W73" s="64">
        <v>19.547369</v>
      </c>
      <c r="X73" s="64">
        <v>19.547369</v>
      </c>
      <c r="Y73" s="64">
        <v>19.547369</v>
      </c>
      <c r="Z73" s="64">
        <v>19.547369</v>
      </c>
      <c r="AA73" s="64">
        <v>19.547369</v>
      </c>
      <c r="AB73" s="64">
        <v>19.547369</v>
      </c>
      <c r="AC73" s="64">
        <v>19.547369</v>
      </c>
      <c r="AD73" s="64">
        <v>19.547369</v>
      </c>
      <c r="AE73" s="64">
        <v>19.547369</v>
      </c>
      <c r="AF73" s="64">
        <v>19.547369</v>
      </c>
      <c r="AG73" s="64">
        <v>19.547369</v>
      </c>
      <c r="AH73" s="64">
        <v>19.547369</v>
      </c>
      <c r="AI73" s="64">
        <v>19.547369</v>
      </c>
      <c r="AJ73" s="64">
        <v>19.547369</v>
      </c>
      <c r="AK73" s="64">
        <v>19.547369</v>
      </c>
      <c r="AL73" s="13">
        <v>1.531E-3</v>
      </c>
    </row>
    <row r="74" spans="1:38" ht="15" customHeight="1" x14ac:dyDescent="0.25">
      <c r="A74" s="7" t="s">
        <v>429</v>
      </c>
      <c r="B74" s="11" t="s">
        <v>430</v>
      </c>
      <c r="C74" s="64">
        <v>89.699996999999996</v>
      </c>
      <c r="D74" s="64">
        <v>89.996002000000004</v>
      </c>
      <c r="E74" s="64">
        <v>90.156998000000002</v>
      </c>
      <c r="F74" s="64">
        <v>90.463691999999995</v>
      </c>
      <c r="G74" s="64">
        <v>94.017464000000004</v>
      </c>
      <c r="H74" s="64">
        <v>93.292229000000006</v>
      </c>
      <c r="I74" s="64">
        <v>92.544158999999993</v>
      </c>
      <c r="J74" s="64">
        <v>92.380043000000001</v>
      </c>
      <c r="K74" s="64">
        <v>91.753936999999993</v>
      </c>
      <c r="L74" s="64">
        <v>91.142097000000007</v>
      </c>
      <c r="M74" s="64">
        <v>89.338004999999995</v>
      </c>
      <c r="N74" s="64">
        <v>89.139160000000004</v>
      </c>
      <c r="O74" s="64">
        <v>89.003426000000005</v>
      </c>
      <c r="P74" s="64">
        <v>89.374816999999993</v>
      </c>
      <c r="Q74" s="64">
        <v>89.386375000000001</v>
      </c>
      <c r="R74" s="64">
        <v>89.976478999999998</v>
      </c>
      <c r="S74" s="64">
        <v>89.965346999999994</v>
      </c>
      <c r="T74" s="64">
        <v>90.042632999999995</v>
      </c>
      <c r="U74" s="64">
        <v>90.114777000000004</v>
      </c>
      <c r="V74" s="64">
        <v>90.715393000000006</v>
      </c>
      <c r="W74" s="64">
        <v>90.722572</v>
      </c>
      <c r="X74" s="64">
        <v>90.660004000000001</v>
      </c>
      <c r="Y74" s="64">
        <v>91.006905000000003</v>
      </c>
      <c r="Z74" s="64">
        <v>91.351257000000004</v>
      </c>
      <c r="AA74" s="64">
        <v>91.416077000000001</v>
      </c>
      <c r="AB74" s="64">
        <v>91.328506000000004</v>
      </c>
      <c r="AC74" s="64">
        <v>90.990074000000007</v>
      </c>
      <c r="AD74" s="64">
        <v>90.954338000000007</v>
      </c>
      <c r="AE74" s="64">
        <v>90.348190000000002</v>
      </c>
      <c r="AF74" s="64">
        <v>89.856598000000005</v>
      </c>
      <c r="AG74" s="64">
        <v>89.500206000000006</v>
      </c>
      <c r="AH74" s="64">
        <v>89.460471999999996</v>
      </c>
      <c r="AI74" s="64">
        <v>89.479056999999997</v>
      </c>
      <c r="AJ74" s="64">
        <v>89.187866</v>
      </c>
      <c r="AK74" s="64">
        <v>89.161300999999995</v>
      </c>
      <c r="AL74" s="13">
        <v>-2.8200000000000002E-4</v>
      </c>
    </row>
    <row r="75" spans="1:38" ht="15" customHeight="1" x14ac:dyDescent="0.25">
      <c r="A75" s="7" t="s">
        <v>1975</v>
      </c>
      <c r="B75" s="11" t="s">
        <v>1976</v>
      </c>
      <c r="C75" s="16">
        <v>10.053144</v>
      </c>
      <c r="D75" s="16">
        <v>10.734221</v>
      </c>
      <c r="E75" s="16">
        <v>10.192645000000001</v>
      </c>
      <c r="F75" s="16">
        <v>9.5709510000000009</v>
      </c>
      <c r="G75" s="16">
        <v>10.215111</v>
      </c>
      <c r="H75" s="16">
        <v>9.9975539999999992</v>
      </c>
      <c r="I75" s="16">
        <v>9.7440130000000007</v>
      </c>
      <c r="J75" s="16">
        <v>9.7079360000000001</v>
      </c>
      <c r="K75" s="16">
        <v>9.4625719999999998</v>
      </c>
      <c r="L75" s="16">
        <v>9.1900510000000004</v>
      </c>
      <c r="M75" s="16">
        <v>8.7447370000000006</v>
      </c>
      <c r="N75" s="16">
        <v>8.6410079999999994</v>
      </c>
      <c r="O75" s="16">
        <v>8.6223960000000002</v>
      </c>
      <c r="P75" s="16">
        <v>8.5773290000000006</v>
      </c>
      <c r="Q75" s="16">
        <v>8.5762409999999996</v>
      </c>
      <c r="R75" s="16">
        <v>8.5934720000000002</v>
      </c>
      <c r="S75" s="16">
        <v>8.5229119999999998</v>
      </c>
      <c r="T75" s="16">
        <v>8.5807059999999993</v>
      </c>
      <c r="U75" s="16">
        <v>8.5823429999999998</v>
      </c>
      <c r="V75" s="16">
        <v>8.6692789999999995</v>
      </c>
      <c r="W75" s="16">
        <v>8.7132020000000008</v>
      </c>
      <c r="X75" s="16">
        <v>8.5270820000000001</v>
      </c>
      <c r="Y75" s="16">
        <v>8.7534910000000004</v>
      </c>
      <c r="Z75" s="16">
        <v>8.8554300000000001</v>
      </c>
      <c r="AA75" s="16">
        <v>8.7630110000000005</v>
      </c>
      <c r="AB75" s="16">
        <v>8.7113370000000003</v>
      </c>
      <c r="AC75" s="16">
        <v>8.6517890000000008</v>
      </c>
      <c r="AD75" s="16">
        <v>8.6668459999999996</v>
      </c>
      <c r="AE75" s="16">
        <v>8.6035179999999993</v>
      </c>
      <c r="AF75" s="16">
        <v>8.7517569999999996</v>
      </c>
      <c r="AG75" s="16">
        <v>8.8091120000000007</v>
      </c>
      <c r="AH75" s="16">
        <v>8.8115559999999995</v>
      </c>
      <c r="AI75" s="16">
        <v>8.9425030000000003</v>
      </c>
      <c r="AJ75" s="16">
        <v>8.9217499999999994</v>
      </c>
      <c r="AK75" s="16">
        <v>8.9793959999999995</v>
      </c>
      <c r="AL75" s="13">
        <v>-5.3949999999999996E-3</v>
      </c>
    </row>
    <row r="76" spans="1:38" ht="15" customHeight="1" x14ac:dyDescent="0.25">
      <c r="A76" s="7" t="s">
        <v>1977</v>
      </c>
      <c r="B76" s="11" t="s">
        <v>1978</v>
      </c>
      <c r="C76" s="16">
        <v>5.2598900000000004</v>
      </c>
      <c r="D76" s="16">
        <v>6.5570370000000002</v>
      </c>
      <c r="E76" s="16">
        <v>6.6302339999999997</v>
      </c>
      <c r="F76" s="16">
        <v>6.6015319999999997</v>
      </c>
      <c r="G76" s="16">
        <v>7.880522</v>
      </c>
      <c r="H76" s="16">
        <v>8.2038469999999997</v>
      </c>
      <c r="I76" s="16">
        <v>8.2878209999999992</v>
      </c>
      <c r="J76" s="16">
        <v>8.4615550000000006</v>
      </c>
      <c r="K76" s="16">
        <v>8.5653880000000004</v>
      </c>
      <c r="L76" s="16">
        <v>8.5188830000000006</v>
      </c>
      <c r="M76" s="16">
        <v>8.2721579999999992</v>
      </c>
      <c r="N76" s="16">
        <v>8.4271550000000008</v>
      </c>
      <c r="O76" s="16">
        <v>8.5825449999999996</v>
      </c>
      <c r="P76" s="16">
        <v>8.6266560000000005</v>
      </c>
      <c r="Q76" s="16">
        <v>8.7417909999999992</v>
      </c>
      <c r="R76" s="16">
        <v>8.9368580000000009</v>
      </c>
      <c r="S76" s="16">
        <v>8.9469180000000001</v>
      </c>
      <c r="T76" s="16">
        <v>9.0305269999999993</v>
      </c>
      <c r="U76" s="16">
        <v>9.1708949999999998</v>
      </c>
      <c r="V76" s="16">
        <v>9.2824179999999998</v>
      </c>
      <c r="W76" s="16">
        <v>9.2494560000000003</v>
      </c>
      <c r="X76" s="16">
        <v>9.1807259999999999</v>
      </c>
      <c r="Y76" s="16">
        <v>9.1767409999999998</v>
      </c>
      <c r="Z76" s="16">
        <v>9.3086020000000005</v>
      </c>
      <c r="AA76" s="16">
        <v>9.3090550000000007</v>
      </c>
      <c r="AB76" s="16">
        <v>9.2519580000000001</v>
      </c>
      <c r="AC76" s="16">
        <v>9.1648460000000007</v>
      </c>
      <c r="AD76" s="16">
        <v>9.1024360000000009</v>
      </c>
      <c r="AE76" s="16">
        <v>8.8937670000000004</v>
      </c>
      <c r="AF76" s="16">
        <v>8.7650349999999992</v>
      </c>
      <c r="AG76" s="16">
        <v>8.6799660000000003</v>
      </c>
      <c r="AH76" s="16">
        <v>8.5877300000000005</v>
      </c>
      <c r="AI76" s="16">
        <v>8.4985759999999999</v>
      </c>
      <c r="AJ76" s="16">
        <v>8.3036250000000003</v>
      </c>
      <c r="AK76" s="16">
        <v>8.2300249999999995</v>
      </c>
      <c r="AL76" s="13">
        <v>6.9100000000000003E-3</v>
      </c>
    </row>
    <row r="77" spans="1:38" ht="15" customHeight="1" x14ac:dyDescent="0.25">
      <c r="A77" s="7" t="s">
        <v>1979</v>
      </c>
      <c r="B77" s="11" t="s">
        <v>1980</v>
      </c>
      <c r="C77" s="16">
        <v>4.793253</v>
      </c>
      <c r="D77" s="16">
        <v>4.1771849999999997</v>
      </c>
      <c r="E77" s="16">
        <v>3.562411</v>
      </c>
      <c r="F77" s="16">
        <v>2.9694189999999998</v>
      </c>
      <c r="G77" s="16">
        <v>2.3345889999999998</v>
      </c>
      <c r="H77" s="16">
        <v>1.7937069999999999</v>
      </c>
      <c r="I77" s="16">
        <v>1.4561919999999999</v>
      </c>
      <c r="J77" s="16">
        <v>1.246381</v>
      </c>
      <c r="K77" s="16">
        <v>0.89718399999999998</v>
      </c>
      <c r="L77" s="16">
        <v>0.67116799999999999</v>
      </c>
      <c r="M77" s="16">
        <v>0.47257900000000003</v>
      </c>
      <c r="N77" s="16">
        <v>0.21385299999999999</v>
      </c>
      <c r="O77" s="16">
        <v>3.9849999999999997E-2</v>
      </c>
      <c r="P77" s="16">
        <v>-4.9327000000000003E-2</v>
      </c>
      <c r="Q77" s="16">
        <v>-0.16555</v>
      </c>
      <c r="R77" s="16">
        <v>-0.34338600000000002</v>
      </c>
      <c r="S77" s="16">
        <v>-0.42400599999999999</v>
      </c>
      <c r="T77" s="16">
        <v>-0.44982100000000003</v>
      </c>
      <c r="U77" s="16">
        <v>-0.58855199999999996</v>
      </c>
      <c r="V77" s="16">
        <v>-0.61313899999999999</v>
      </c>
      <c r="W77" s="16">
        <v>-0.53625500000000004</v>
      </c>
      <c r="X77" s="16">
        <v>-0.653644</v>
      </c>
      <c r="Y77" s="16">
        <v>-0.42324899999999999</v>
      </c>
      <c r="Z77" s="16">
        <v>-0.45317299999999999</v>
      </c>
      <c r="AA77" s="16">
        <v>-0.54604399999999997</v>
      </c>
      <c r="AB77" s="16">
        <v>-0.54062100000000002</v>
      </c>
      <c r="AC77" s="16">
        <v>-0.51305800000000001</v>
      </c>
      <c r="AD77" s="16">
        <v>-0.43558999999999998</v>
      </c>
      <c r="AE77" s="16">
        <v>-0.29024899999999998</v>
      </c>
      <c r="AF77" s="16">
        <v>-1.3278E-2</v>
      </c>
      <c r="AG77" s="16">
        <v>0.12914600000000001</v>
      </c>
      <c r="AH77" s="16">
        <v>0.223825</v>
      </c>
      <c r="AI77" s="16">
        <v>0.44392700000000002</v>
      </c>
      <c r="AJ77" s="16">
        <v>0.61812500000000004</v>
      </c>
      <c r="AK77" s="16">
        <v>0.74937100000000001</v>
      </c>
      <c r="AL77" s="13">
        <v>-5.0733E-2</v>
      </c>
    </row>
    <row r="78" spans="1:38" ht="15" customHeight="1" x14ac:dyDescent="0.25">
      <c r="A78" s="7" t="s">
        <v>431</v>
      </c>
      <c r="B78" s="11" t="s">
        <v>326</v>
      </c>
      <c r="C78" s="64">
        <v>24.37077</v>
      </c>
      <c r="D78" s="64">
        <v>20.859213</v>
      </c>
      <c r="E78" s="64">
        <v>17.475231000000001</v>
      </c>
      <c r="F78" s="64">
        <v>14.591093000000001</v>
      </c>
      <c r="G78" s="64">
        <v>11.545992</v>
      </c>
      <c r="H78" s="64">
        <v>8.9092950000000002</v>
      </c>
      <c r="I78" s="64">
        <v>7.273155</v>
      </c>
      <c r="J78" s="64">
        <v>6.262613</v>
      </c>
      <c r="K78" s="64">
        <v>4.528454</v>
      </c>
      <c r="L78" s="64">
        <v>3.4171990000000001</v>
      </c>
      <c r="M78" s="64">
        <v>2.426399</v>
      </c>
      <c r="N78" s="64">
        <v>1.103386</v>
      </c>
      <c r="O78" s="64">
        <v>0.206258</v>
      </c>
      <c r="P78" s="64">
        <v>-0.256108</v>
      </c>
      <c r="Q78" s="64">
        <v>-0.86200699999999997</v>
      </c>
      <c r="R78" s="64">
        <v>-1.790724</v>
      </c>
      <c r="S78" s="64">
        <v>-2.217778</v>
      </c>
      <c r="T78" s="64">
        <v>-2.3561960000000002</v>
      </c>
      <c r="U78" s="64">
        <v>-3.0886659999999999</v>
      </c>
      <c r="V78" s="64">
        <v>-3.220993</v>
      </c>
      <c r="W78" s="64">
        <v>-2.815404</v>
      </c>
      <c r="X78" s="64">
        <v>-3.427772</v>
      </c>
      <c r="Y78" s="64">
        <v>-2.2116340000000001</v>
      </c>
      <c r="Z78" s="64">
        <v>-2.3643510000000001</v>
      </c>
      <c r="AA78" s="64">
        <v>-2.8434339999999998</v>
      </c>
      <c r="AB78" s="64">
        <v>-2.8078979999999998</v>
      </c>
      <c r="AC78" s="64">
        <v>-2.6593710000000002</v>
      </c>
      <c r="AD78" s="64">
        <v>-2.250848</v>
      </c>
      <c r="AE78" s="64">
        <v>-1.4944729999999999</v>
      </c>
      <c r="AF78" s="64">
        <v>-6.8099000000000007E-2</v>
      </c>
      <c r="AG78" s="64">
        <v>0.659605</v>
      </c>
      <c r="AH78" s="64">
        <v>1.1370279999999999</v>
      </c>
      <c r="AI78" s="64">
        <v>2.2427329999999999</v>
      </c>
      <c r="AJ78" s="64">
        <v>3.1058840000000001</v>
      </c>
      <c r="AK78" s="64">
        <v>3.7440639999999998</v>
      </c>
      <c r="AL78" s="13">
        <v>-5.0717999999999999E-2</v>
      </c>
    </row>
    <row r="79" spans="1:38" ht="15" customHeight="1" x14ac:dyDescent="0.25">
      <c r="B79" s="10" t="s">
        <v>327</v>
      </c>
    </row>
    <row r="80" spans="1:38" ht="15" customHeight="1" x14ac:dyDescent="0.25">
      <c r="A80" s="7" t="s">
        <v>432</v>
      </c>
      <c r="B80" s="11" t="s">
        <v>1981</v>
      </c>
      <c r="C80" s="16">
        <v>109.70259900000001</v>
      </c>
      <c r="D80" s="16">
        <v>123.577454</v>
      </c>
      <c r="E80" s="16">
        <v>121.448685</v>
      </c>
      <c r="F80" s="16">
        <v>141.87623600000001</v>
      </c>
      <c r="G80" s="16">
        <v>196.52475000000001</v>
      </c>
      <c r="H80" s="16">
        <v>210.22676100000001</v>
      </c>
      <c r="I80" s="16">
        <v>213.38545199999999</v>
      </c>
      <c r="J80" s="16">
        <v>218.16156000000001</v>
      </c>
      <c r="K80" s="16">
        <v>214.39245600000001</v>
      </c>
      <c r="L80" s="16">
        <v>214.720505</v>
      </c>
      <c r="M80" s="16">
        <v>207.13705400000001</v>
      </c>
      <c r="N80" s="16">
        <v>205.544601</v>
      </c>
      <c r="O80" s="16">
        <v>207.69615200000001</v>
      </c>
      <c r="P80" s="16">
        <v>209.93159499999999</v>
      </c>
      <c r="Q80" s="16">
        <v>212.72200000000001</v>
      </c>
      <c r="R80" s="16">
        <v>217.13978599999999</v>
      </c>
      <c r="S80" s="16">
        <v>219.34545900000001</v>
      </c>
      <c r="T80" s="16">
        <v>223.973557</v>
      </c>
      <c r="U80" s="16">
        <v>227.045715</v>
      </c>
      <c r="V80" s="16">
        <v>232.93562299999999</v>
      </c>
      <c r="W80" s="16">
        <v>235.844055</v>
      </c>
      <c r="X80" s="16">
        <v>234.20687899999999</v>
      </c>
      <c r="Y80" s="16">
        <v>244.80761699999999</v>
      </c>
      <c r="Z80" s="16">
        <v>250.00328099999999</v>
      </c>
      <c r="AA80" s="16">
        <v>249.81668099999999</v>
      </c>
      <c r="AB80" s="16">
        <v>250.15116900000001</v>
      </c>
      <c r="AC80" s="16">
        <v>249.715149</v>
      </c>
      <c r="AD80" s="16">
        <v>252.36331200000001</v>
      </c>
      <c r="AE80" s="16">
        <v>252.09411600000001</v>
      </c>
      <c r="AF80" s="16">
        <v>258.90106200000002</v>
      </c>
      <c r="AG80" s="16">
        <v>260.79281600000002</v>
      </c>
      <c r="AH80" s="16">
        <v>263.01815800000003</v>
      </c>
      <c r="AI80" s="16">
        <v>270.17620799999997</v>
      </c>
      <c r="AJ80" s="16">
        <v>270.761414</v>
      </c>
      <c r="AK80" s="16">
        <v>274.07714800000002</v>
      </c>
      <c r="AL80" s="13">
        <v>2.4431000000000001E-2</v>
      </c>
    </row>
    <row r="81" spans="2:38" ht="15" customHeight="1" x14ac:dyDescent="0.25"/>
    <row r="82" spans="2:38" ht="15" customHeight="1" thickBot="1" x14ac:dyDescent="0.3"/>
    <row r="83" spans="2:38" ht="15" customHeight="1" x14ac:dyDescent="0.25">
      <c r="B83" s="369" t="s">
        <v>433</v>
      </c>
      <c r="C83" s="369"/>
      <c r="D83" s="369"/>
      <c r="E83" s="369"/>
      <c r="F83" s="369"/>
      <c r="G83" s="369"/>
      <c r="H83" s="369"/>
      <c r="I83" s="369"/>
      <c r="J83" s="369"/>
      <c r="K83" s="369"/>
      <c r="L83" s="369"/>
      <c r="M83" s="369"/>
      <c r="N83" s="369"/>
      <c r="O83" s="369"/>
      <c r="P83" s="369"/>
      <c r="Q83" s="369"/>
      <c r="R83" s="369"/>
      <c r="S83" s="369"/>
      <c r="T83" s="369"/>
      <c r="U83" s="369"/>
      <c r="V83" s="369"/>
      <c r="W83" s="369"/>
      <c r="X83" s="369"/>
      <c r="Y83" s="369"/>
      <c r="Z83" s="369"/>
      <c r="AA83" s="369"/>
      <c r="AB83" s="369"/>
      <c r="AC83" s="369"/>
      <c r="AD83" s="369"/>
      <c r="AE83" s="369"/>
      <c r="AF83" s="369"/>
      <c r="AG83" s="369"/>
      <c r="AH83" s="369"/>
      <c r="AI83" s="369"/>
      <c r="AJ83" s="369"/>
      <c r="AK83" s="369"/>
      <c r="AL83" s="369"/>
    </row>
    <row r="84" spans="2:38" ht="15" customHeight="1" x14ac:dyDescent="0.25">
      <c r="B84" s="18" t="s">
        <v>434</v>
      </c>
    </row>
    <row r="85" spans="2:38" ht="15" customHeight="1" x14ac:dyDescent="0.25">
      <c r="B85" s="18" t="s">
        <v>435</v>
      </c>
    </row>
    <row r="86" spans="2:38" ht="15" customHeight="1" x14ac:dyDescent="0.25">
      <c r="B86" s="18" t="s">
        <v>436</v>
      </c>
    </row>
    <row r="87" spans="2:38" ht="15" customHeight="1" x14ac:dyDescent="0.25">
      <c r="B87" s="18" t="s">
        <v>437</v>
      </c>
    </row>
    <row r="88" spans="2:38" ht="15" customHeight="1" x14ac:dyDescent="0.25">
      <c r="B88" s="18" t="s">
        <v>438</v>
      </c>
    </row>
    <row r="89" spans="2:38" ht="15" customHeight="1" x14ac:dyDescent="0.25">
      <c r="B89" s="18" t="s">
        <v>439</v>
      </c>
    </row>
    <row r="90" spans="2:38" ht="15" customHeight="1" x14ac:dyDescent="0.25">
      <c r="B90" s="18" t="s">
        <v>440</v>
      </c>
    </row>
    <row r="91" spans="2:38" ht="15" customHeight="1" x14ac:dyDescent="0.25">
      <c r="B91" s="18" t="s">
        <v>441</v>
      </c>
    </row>
    <row r="92" spans="2:38" ht="15" customHeight="1" x14ac:dyDescent="0.25">
      <c r="B92" s="18" t="s">
        <v>442</v>
      </c>
    </row>
    <row r="93" spans="2:38" ht="15" customHeight="1" x14ac:dyDescent="0.25">
      <c r="B93" s="18" t="s">
        <v>443</v>
      </c>
    </row>
    <row r="94" spans="2:38" ht="15" customHeight="1" x14ac:dyDescent="0.25">
      <c r="B94" s="18" t="s">
        <v>444</v>
      </c>
    </row>
    <row r="95" spans="2:38" ht="15" customHeight="1" x14ac:dyDescent="0.25">
      <c r="B95" s="18" t="s">
        <v>445</v>
      </c>
    </row>
    <row r="96" spans="2:38" ht="15" customHeight="1" x14ac:dyDescent="0.25">
      <c r="B96" s="18" t="s">
        <v>446</v>
      </c>
    </row>
    <row r="97" spans="2:2" ht="15" customHeight="1" x14ac:dyDescent="0.25">
      <c r="B97" s="18" t="s">
        <v>447</v>
      </c>
    </row>
    <row r="98" spans="2:2" ht="15" customHeight="1" x14ac:dyDescent="0.25">
      <c r="B98" s="18" t="s">
        <v>448</v>
      </c>
    </row>
    <row r="99" spans="2:2" ht="15" customHeight="1" x14ac:dyDescent="0.25">
      <c r="B99" s="18" t="s">
        <v>449</v>
      </c>
    </row>
    <row r="100" spans="2:2" ht="15" customHeight="1" x14ac:dyDescent="0.25">
      <c r="B100" s="18" t="s">
        <v>450</v>
      </c>
    </row>
    <row r="101" spans="2:2" ht="15" customHeight="1" x14ac:dyDescent="0.25">
      <c r="B101" s="18" t="s">
        <v>451</v>
      </c>
    </row>
    <row r="102" spans="2:2" ht="15" customHeight="1" x14ac:dyDescent="0.25">
      <c r="B102" s="18" t="s">
        <v>452</v>
      </c>
    </row>
    <row r="103" spans="2:2" ht="15" customHeight="1" x14ac:dyDescent="0.25">
      <c r="B103" s="18" t="s">
        <v>453</v>
      </c>
    </row>
    <row r="104" spans="2:2" ht="15" customHeight="1" x14ac:dyDescent="0.25">
      <c r="B104" s="18" t="s">
        <v>454</v>
      </c>
    </row>
    <row r="105" spans="2:2" ht="15" customHeight="1" x14ac:dyDescent="0.25">
      <c r="B105" s="18" t="s">
        <v>455</v>
      </c>
    </row>
    <row r="106" spans="2:2" ht="15" customHeight="1" x14ac:dyDescent="0.25">
      <c r="B106" s="18" t="s">
        <v>456</v>
      </c>
    </row>
    <row r="107" spans="2:2" ht="15" customHeight="1" x14ac:dyDescent="0.25">
      <c r="B107" s="18" t="s">
        <v>457</v>
      </c>
    </row>
    <row r="108" spans="2:2" ht="15" customHeight="1" x14ac:dyDescent="0.25">
      <c r="B108" s="18" t="s">
        <v>193</v>
      </c>
    </row>
    <row r="109" spans="2:2" ht="15" customHeight="1" x14ac:dyDescent="0.25">
      <c r="B109" s="18" t="s">
        <v>1756</v>
      </c>
    </row>
    <row r="110" spans="2:2" ht="15" customHeight="1" x14ac:dyDescent="0.25">
      <c r="B110" s="18" t="s">
        <v>458</v>
      </c>
    </row>
    <row r="111" spans="2:2" ht="15" customHeight="1" x14ac:dyDescent="0.25">
      <c r="B111" s="18" t="s">
        <v>1982</v>
      </c>
    </row>
    <row r="112" spans="2:2" ht="15" customHeight="1" x14ac:dyDescent="0.25">
      <c r="B112" s="18" t="s">
        <v>1983</v>
      </c>
    </row>
    <row r="113" spans="2:2" ht="15" customHeight="1" x14ac:dyDescent="0.25">
      <c r="B113" s="18" t="s">
        <v>1758</v>
      </c>
    </row>
    <row r="114" spans="2:2" ht="15" customHeight="1" x14ac:dyDescent="0.25">
      <c r="B114" s="18" t="s">
        <v>1759</v>
      </c>
    </row>
  </sheetData>
  <mergeCells count="1">
    <mergeCell ref="B83:AL8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79998168889431442"/>
  </sheetPr>
  <dimension ref="A1:AL94"/>
  <sheetViews>
    <sheetView topLeftCell="B22" workbookViewId="0">
      <selection activeCell="B26" sqref="B26:E26"/>
    </sheetView>
  </sheetViews>
  <sheetFormatPr defaultRowHeight="15" x14ac:dyDescent="0.25"/>
  <cols>
    <col min="1" max="1" width="20.85546875" hidden="1" customWidth="1"/>
    <col min="2" max="2" width="45.7109375" customWidth="1"/>
    <col min="38" max="38" width="8"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1099</v>
      </c>
      <c r="B10" s="8" t="s">
        <v>1100</v>
      </c>
    </row>
    <row r="11" spans="1:38" ht="15" customHeight="1" x14ac:dyDescent="0.25">
      <c r="B11" s="4" t="s">
        <v>1101</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1102</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B15" s="10" t="s">
        <v>1103</v>
      </c>
    </row>
    <row r="16" spans="1:38" ht="15" customHeight="1" x14ac:dyDescent="0.25">
      <c r="A16" s="7" t="s">
        <v>1104</v>
      </c>
      <c r="B16" s="11" t="s">
        <v>1105</v>
      </c>
      <c r="C16" s="16">
        <v>26.939613000000001</v>
      </c>
      <c r="D16" s="16">
        <v>27.098717000000001</v>
      </c>
      <c r="E16" s="16">
        <v>28.957833999999998</v>
      </c>
      <c r="F16" s="16">
        <v>31.190218000000002</v>
      </c>
      <c r="G16" s="16">
        <v>32.661513999999997</v>
      </c>
      <c r="H16" s="16">
        <v>33.089751999999997</v>
      </c>
      <c r="I16" s="16">
        <v>33.844237999999997</v>
      </c>
      <c r="J16" s="16">
        <v>34.606892000000002</v>
      </c>
      <c r="K16" s="16">
        <v>35.178581000000001</v>
      </c>
      <c r="L16" s="16">
        <v>35.785069</v>
      </c>
      <c r="M16" s="16">
        <v>36.235439</v>
      </c>
      <c r="N16" s="16">
        <v>36.818038999999999</v>
      </c>
      <c r="O16" s="16">
        <v>37.349274000000001</v>
      </c>
      <c r="P16" s="16">
        <v>37.663001999999999</v>
      </c>
      <c r="Q16" s="16">
        <v>37.829329999999999</v>
      </c>
      <c r="R16" s="16">
        <v>38.004635</v>
      </c>
      <c r="S16" s="16">
        <v>38.117004000000001</v>
      </c>
      <c r="T16" s="16">
        <v>38.249465999999998</v>
      </c>
      <c r="U16" s="16">
        <v>38.546470999999997</v>
      </c>
      <c r="V16" s="16">
        <v>38.720581000000003</v>
      </c>
      <c r="W16" s="16">
        <v>39.017445000000002</v>
      </c>
      <c r="X16" s="16">
        <v>39.375717000000002</v>
      </c>
      <c r="Y16" s="16">
        <v>39.570228999999998</v>
      </c>
      <c r="Z16" s="16">
        <v>39.820656</v>
      </c>
      <c r="AA16" s="16">
        <v>40.154719999999998</v>
      </c>
      <c r="AB16" s="16">
        <v>40.403953999999999</v>
      </c>
      <c r="AC16" s="16">
        <v>40.718319000000001</v>
      </c>
      <c r="AD16" s="16">
        <v>40.991549999999997</v>
      </c>
      <c r="AE16" s="16">
        <v>41.255589000000001</v>
      </c>
      <c r="AF16" s="16">
        <v>41.462952000000001</v>
      </c>
      <c r="AG16" s="16">
        <v>41.760136000000003</v>
      </c>
      <c r="AH16" s="16">
        <v>42.075218</v>
      </c>
      <c r="AI16" s="16">
        <v>42.399509000000002</v>
      </c>
      <c r="AJ16" s="16">
        <v>42.599857</v>
      </c>
      <c r="AK16" s="16">
        <v>42.978988999999999</v>
      </c>
      <c r="AL16" s="13">
        <v>1.4075000000000001E-2</v>
      </c>
    </row>
    <row r="17" spans="1:38" ht="15" customHeight="1" x14ac:dyDescent="0.25">
      <c r="A17" s="7" t="s">
        <v>1106</v>
      </c>
      <c r="B17" s="11" t="s">
        <v>1107</v>
      </c>
      <c r="C17" s="16">
        <v>5.7188999999999997E-2</v>
      </c>
      <c r="D17" s="16">
        <v>5.5100000000000003E-2</v>
      </c>
      <c r="E17" s="16">
        <v>5.9560000000000002E-2</v>
      </c>
      <c r="F17" s="16">
        <v>5.9306999999999999E-2</v>
      </c>
      <c r="G17" s="16">
        <v>5.9054000000000002E-2</v>
      </c>
      <c r="H17" s="16">
        <v>5.8800999999999999E-2</v>
      </c>
      <c r="I17" s="16">
        <v>5.8548000000000003E-2</v>
      </c>
      <c r="J17" s="16">
        <v>5.8293999999999999E-2</v>
      </c>
      <c r="K17" s="16">
        <v>5.8293999999999999E-2</v>
      </c>
      <c r="L17" s="16">
        <v>5.8293999999999999E-2</v>
      </c>
      <c r="M17" s="16">
        <v>5.8293999999999999E-2</v>
      </c>
      <c r="N17" s="16">
        <v>5.8293999999999999E-2</v>
      </c>
      <c r="O17" s="16">
        <v>5.8293999999999999E-2</v>
      </c>
      <c r="P17" s="16">
        <v>5.8293999999999999E-2</v>
      </c>
      <c r="Q17" s="16">
        <v>5.8293999999999999E-2</v>
      </c>
      <c r="R17" s="16">
        <v>5.8293999999999999E-2</v>
      </c>
      <c r="S17" s="16">
        <v>5.8293999999999999E-2</v>
      </c>
      <c r="T17" s="16">
        <v>5.8293999999999999E-2</v>
      </c>
      <c r="U17" s="16">
        <v>5.8293999999999999E-2</v>
      </c>
      <c r="V17" s="16">
        <v>5.8293999999999999E-2</v>
      </c>
      <c r="W17" s="16">
        <v>5.8293999999999999E-2</v>
      </c>
      <c r="X17" s="16">
        <v>5.8293999999999999E-2</v>
      </c>
      <c r="Y17" s="16">
        <v>5.8293999999999999E-2</v>
      </c>
      <c r="Z17" s="16">
        <v>5.8293999999999999E-2</v>
      </c>
      <c r="AA17" s="16">
        <v>5.8293999999999999E-2</v>
      </c>
      <c r="AB17" s="16">
        <v>5.8293999999999999E-2</v>
      </c>
      <c r="AC17" s="16">
        <v>5.8293999999999999E-2</v>
      </c>
      <c r="AD17" s="16">
        <v>5.8293999999999999E-2</v>
      </c>
      <c r="AE17" s="16">
        <v>5.8293999999999999E-2</v>
      </c>
      <c r="AF17" s="16">
        <v>5.8293999999999999E-2</v>
      </c>
      <c r="AG17" s="16">
        <v>5.8293999999999999E-2</v>
      </c>
      <c r="AH17" s="16">
        <v>5.8293999999999999E-2</v>
      </c>
      <c r="AI17" s="16">
        <v>5.8293999999999999E-2</v>
      </c>
      <c r="AJ17" s="16">
        <v>5.8293999999999999E-2</v>
      </c>
      <c r="AK17" s="16">
        <v>5.8293999999999999E-2</v>
      </c>
      <c r="AL17" s="13">
        <v>1.709E-3</v>
      </c>
    </row>
    <row r="19" spans="1:38" ht="15" customHeight="1" x14ac:dyDescent="0.25">
      <c r="A19" s="7" t="s">
        <v>1108</v>
      </c>
      <c r="B19" s="10" t="s">
        <v>1109</v>
      </c>
      <c r="C19" s="17">
        <v>0.69134200000000001</v>
      </c>
      <c r="D19" s="17">
        <v>-9.0915999999999997E-2</v>
      </c>
      <c r="E19" s="17">
        <v>-0.72594700000000001</v>
      </c>
      <c r="F19" s="17">
        <v>-2.0963129999999999</v>
      </c>
      <c r="G19" s="17">
        <v>-3.5472589999999999</v>
      </c>
      <c r="H19" s="17">
        <v>-3.8339750000000001</v>
      </c>
      <c r="I19" s="17">
        <v>-4.2728849999999996</v>
      </c>
      <c r="J19" s="17">
        <v>-4.7549380000000001</v>
      </c>
      <c r="K19" s="17">
        <v>-5.4265660000000002</v>
      </c>
      <c r="L19" s="17">
        <v>-5.8865309999999997</v>
      </c>
      <c r="M19" s="17">
        <v>-6.2453539999999998</v>
      </c>
      <c r="N19" s="17">
        <v>-6.5854239999999997</v>
      </c>
      <c r="O19" s="17">
        <v>-6.7938020000000003</v>
      </c>
      <c r="P19" s="17">
        <v>-6.929843</v>
      </c>
      <c r="Q19" s="17">
        <v>-6.9934380000000003</v>
      </c>
      <c r="R19" s="17">
        <v>-7.0104059999999997</v>
      </c>
      <c r="S19" s="17">
        <v>-7.0333639999999997</v>
      </c>
      <c r="T19" s="17">
        <v>-7.0558180000000004</v>
      </c>
      <c r="U19" s="17">
        <v>-7.1423439999999996</v>
      </c>
      <c r="V19" s="17">
        <v>-7.1918350000000002</v>
      </c>
      <c r="W19" s="17">
        <v>-7.2891329999999996</v>
      </c>
      <c r="X19" s="17">
        <v>-7.398072</v>
      </c>
      <c r="Y19" s="17">
        <v>-7.4291419999999997</v>
      </c>
      <c r="Z19" s="17">
        <v>-7.4939999999999998</v>
      </c>
      <c r="AA19" s="17">
        <v>-7.5714699999999997</v>
      </c>
      <c r="AB19" s="17">
        <v>-7.5967099999999999</v>
      </c>
      <c r="AC19" s="17">
        <v>-7.6599130000000004</v>
      </c>
      <c r="AD19" s="17">
        <v>-7.7217359999999999</v>
      </c>
      <c r="AE19" s="17">
        <v>-7.9045189999999996</v>
      </c>
      <c r="AF19" s="17">
        <v>-7.9545300000000001</v>
      </c>
      <c r="AG19" s="17">
        <v>-8.0675629999999998</v>
      </c>
      <c r="AH19" s="17">
        <v>-8.1835570000000004</v>
      </c>
      <c r="AI19" s="17">
        <v>-8.2691300000000005</v>
      </c>
      <c r="AJ19" s="17">
        <v>-8.3096809999999994</v>
      </c>
      <c r="AK19" s="17">
        <v>-8.3965150000000008</v>
      </c>
      <c r="AL19" s="15">
        <v>0.14698900000000001</v>
      </c>
    </row>
    <row r="20" spans="1:38" ht="15" customHeight="1" x14ac:dyDescent="0.25">
      <c r="A20" s="7" t="s">
        <v>1110</v>
      </c>
      <c r="B20" s="11" t="s">
        <v>1111</v>
      </c>
      <c r="C20" s="16">
        <v>0.79073800000000005</v>
      </c>
      <c r="D20" s="16">
        <v>0.50207400000000002</v>
      </c>
      <c r="E20" s="16">
        <v>0.30845299999999998</v>
      </c>
      <c r="F20" s="16">
        <v>-0.22764599999999999</v>
      </c>
      <c r="G20" s="16">
        <v>-0.590256</v>
      </c>
      <c r="H20" s="16">
        <v>-0.75368199999999996</v>
      </c>
      <c r="I20" s="16">
        <v>-0.99244900000000003</v>
      </c>
      <c r="J20" s="16">
        <v>-1.0745009999999999</v>
      </c>
      <c r="K20" s="16">
        <v>-1.2794620000000001</v>
      </c>
      <c r="L20" s="16">
        <v>-1.3394280000000001</v>
      </c>
      <c r="M20" s="16">
        <v>-1.431584</v>
      </c>
      <c r="N20" s="16">
        <v>-1.504988</v>
      </c>
      <c r="O20" s="16">
        <v>-1.5800320000000001</v>
      </c>
      <c r="P20" s="16">
        <v>-1.6494070000000001</v>
      </c>
      <c r="Q20" s="16">
        <v>-1.7130019999999999</v>
      </c>
      <c r="R20" s="16">
        <v>-1.7299690000000001</v>
      </c>
      <c r="S20" s="16">
        <v>-1.7529269999999999</v>
      </c>
      <c r="T20" s="16">
        <v>-1.775382</v>
      </c>
      <c r="U20" s="16">
        <v>-1.8619079999999999</v>
      </c>
      <c r="V20" s="16">
        <v>-1.9113990000000001</v>
      </c>
      <c r="W20" s="16">
        <v>-2.008696</v>
      </c>
      <c r="X20" s="16">
        <v>-2.1176349999999999</v>
      </c>
      <c r="Y20" s="16">
        <v>-2.1487050000000001</v>
      </c>
      <c r="Z20" s="16">
        <v>-2.2135630000000002</v>
      </c>
      <c r="AA20" s="16">
        <v>-2.2910330000000001</v>
      </c>
      <c r="AB20" s="16">
        <v>-2.3162739999999999</v>
      </c>
      <c r="AC20" s="16">
        <v>-2.3794759999999999</v>
      </c>
      <c r="AD20" s="16">
        <v>-2.4412989999999999</v>
      </c>
      <c r="AE20" s="16">
        <v>-2.624082</v>
      </c>
      <c r="AF20" s="16">
        <v>-2.6740930000000001</v>
      </c>
      <c r="AG20" s="16">
        <v>-2.7871260000000002</v>
      </c>
      <c r="AH20" s="16">
        <v>-2.9031210000000001</v>
      </c>
      <c r="AI20" s="16">
        <v>-2.9886919999999999</v>
      </c>
      <c r="AJ20" s="16">
        <v>-3.0292439999999998</v>
      </c>
      <c r="AK20" s="16">
        <v>-3.116079</v>
      </c>
      <c r="AL20" s="13" t="s">
        <v>9</v>
      </c>
    </row>
    <row r="21" spans="1:38" ht="15" customHeight="1" x14ac:dyDescent="0.25">
      <c r="A21" s="7" t="s">
        <v>1112</v>
      </c>
      <c r="B21" s="11" t="s">
        <v>1113</v>
      </c>
      <c r="C21" s="16">
        <v>-9.9395999999999998E-2</v>
      </c>
      <c r="D21" s="16">
        <v>-0.59299000000000002</v>
      </c>
      <c r="E21" s="16">
        <v>-1.0344</v>
      </c>
      <c r="F21" s="16">
        <v>-1.8686670000000001</v>
      </c>
      <c r="G21" s="16">
        <v>-2.9570029999999998</v>
      </c>
      <c r="H21" s="16">
        <v>-3.080292</v>
      </c>
      <c r="I21" s="16">
        <v>-3.280437</v>
      </c>
      <c r="J21" s="16">
        <v>-3.6804359999999998</v>
      </c>
      <c r="K21" s="16">
        <v>-4.1471030000000004</v>
      </c>
      <c r="L21" s="16">
        <v>-4.5471029999999999</v>
      </c>
      <c r="M21" s="16">
        <v>-4.8137699999999999</v>
      </c>
      <c r="N21" s="16">
        <v>-5.0804369999999999</v>
      </c>
      <c r="O21" s="16">
        <v>-5.2137700000000002</v>
      </c>
      <c r="P21" s="16">
        <v>-5.280437</v>
      </c>
      <c r="Q21" s="16">
        <v>-5.280437</v>
      </c>
      <c r="R21" s="16">
        <v>-5.280437</v>
      </c>
      <c r="S21" s="16">
        <v>-5.280437</v>
      </c>
      <c r="T21" s="16">
        <v>-5.280437</v>
      </c>
      <c r="U21" s="16">
        <v>-5.280437</v>
      </c>
      <c r="V21" s="16">
        <v>-5.280437</v>
      </c>
      <c r="W21" s="16">
        <v>-5.280437</v>
      </c>
      <c r="X21" s="16">
        <v>-5.280437</v>
      </c>
      <c r="Y21" s="16">
        <v>-5.280437</v>
      </c>
      <c r="Z21" s="16">
        <v>-5.280437</v>
      </c>
      <c r="AA21" s="16">
        <v>-5.280437</v>
      </c>
      <c r="AB21" s="16">
        <v>-5.280437</v>
      </c>
      <c r="AC21" s="16">
        <v>-5.280437</v>
      </c>
      <c r="AD21" s="16">
        <v>-5.280437</v>
      </c>
      <c r="AE21" s="16">
        <v>-5.280437</v>
      </c>
      <c r="AF21" s="16">
        <v>-5.280437</v>
      </c>
      <c r="AG21" s="16">
        <v>-5.280437</v>
      </c>
      <c r="AH21" s="16">
        <v>-5.280437</v>
      </c>
      <c r="AI21" s="16">
        <v>-5.280437</v>
      </c>
      <c r="AJ21" s="16">
        <v>-5.280437</v>
      </c>
      <c r="AK21" s="16">
        <v>-5.280437</v>
      </c>
      <c r="AL21" s="13">
        <v>6.8504999999999996E-2</v>
      </c>
    </row>
    <row r="23" spans="1:38" ht="15" customHeight="1" x14ac:dyDescent="0.25">
      <c r="A23" s="7" t="s">
        <v>1114</v>
      </c>
      <c r="B23" s="10" t="s">
        <v>1115</v>
      </c>
      <c r="C23" s="17">
        <v>27.688144999999999</v>
      </c>
      <c r="D23" s="17">
        <v>27.062901</v>
      </c>
      <c r="E23" s="17">
        <v>28.291449</v>
      </c>
      <c r="F23" s="17">
        <v>29.153212</v>
      </c>
      <c r="G23" s="17">
        <v>29.173309</v>
      </c>
      <c r="H23" s="17">
        <v>29.314577</v>
      </c>
      <c r="I23" s="17">
        <v>29.629902000000001</v>
      </c>
      <c r="J23" s="17">
        <v>29.910250000000001</v>
      </c>
      <c r="K23" s="17">
        <v>29.810312</v>
      </c>
      <c r="L23" s="17">
        <v>29.956833</v>
      </c>
      <c r="M23" s="17">
        <v>30.048382</v>
      </c>
      <c r="N23" s="17">
        <v>30.290911000000001</v>
      </c>
      <c r="O23" s="17">
        <v>30.613768</v>
      </c>
      <c r="P23" s="17">
        <v>30.791454000000002</v>
      </c>
      <c r="Q23" s="17">
        <v>30.894188</v>
      </c>
      <c r="R23" s="17">
        <v>31.052524999999999</v>
      </c>
      <c r="S23" s="17">
        <v>31.141936999999999</v>
      </c>
      <c r="T23" s="17">
        <v>31.251944000000002</v>
      </c>
      <c r="U23" s="17">
        <v>31.462423000000001</v>
      </c>
      <c r="V23" s="17">
        <v>31.587042</v>
      </c>
      <c r="W23" s="17">
        <v>31.786608000000001</v>
      </c>
      <c r="X23" s="17">
        <v>32.035941999999999</v>
      </c>
      <c r="Y23" s="17">
        <v>32.199382999999997</v>
      </c>
      <c r="Z23" s="17">
        <v>32.384953000000003</v>
      </c>
      <c r="AA23" s="17">
        <v>32.641548</v>
      </c>
      <c r="AB23" s="17">
        <v>32.865540000000003</v>
      </c>
      <c r="AC23" s="17">
        <v>33.116703000000001</v>
      </c>
      <c r="AD23" s="17">
        <v>33.328110000000002</v>
      </c>
      <c r="AE23" s="17">
        <v>33.409367000000003</v>
      </c>
      <c r="AF23" s="17">
        <v>33.566718999999999</v>
      </c>
      <c r="AG23" s="17">
        <v>33.750869999999999</v>
      </c>
      <c r="AH23" s="17">
        <v>33.949959</v>
      </c>
      <c r="AI23" s="17">
        <v>34.188675000000003</v>
      </c>
      <c r="AJ23" s="17">
        <v>34.348472999999998</v>
      </c>
      <c r="AK23" s="17">
        <v>34.640770000000003</v>
      </c>
      <c r="AL23" s="15">
        <v>7.509E-3</v>
      </c>
    </row>
    <row r="25" spans="1:38" ht="15" customHeight="1" x14ac:dyDescent="0.25">
      <c r="A25" s="7" t="s">
        <v>1130</v>
      </c>
      <c r="B25" s="10" t="s">
        <v>1116</v>
      </c>
      <c r="C25" s="17">
        <v>27.503675000000001</v>
      </c>
      <c r="D25" s="17">
        <v>26.684505000000001</v>
      </c>
      <c r="E25" s="17">
        <v>28.176397000000001</v>
      </c>
      <c r="F25" s="17">
        <v>29.026381000000001</v>
      </c>
      <c r="G25" s="17">
        <v>29.034351000000001</v>
      </c>
      <c r="H25" s="17">
        <v>29.164085</v>
      </c>
      <c r="I25" s="17">
        <v>29.469785999999999</v>
      </c>
      <c r="J25" s="17">
        <v>29.737483999999998</v>
      </c>
      <c r="K25" s="17">
        <v>29.632584000000001</v>
      </c>
      <c r="L25" s="17">
        <v>29.778326</v>
      </c>
      <c r="M25" s="17">
        <v>29.867735</v>
      </c>
      <c r="N25" s="17">
        <v>30.107887000000002</v>
      </c>
      <c r="O25" s="17">
        <v>30.428716999999999</v>
      </c>
      <c r="P25" s="17">
        <v>30.619463</v>
      </c>
      <c r="Q25" s="17">
        <v>30.721907000000002</v>
      </c>
      <c r="R25" s="17">
        <v>30.870920000000002</v>
      </c>
      <c r="S25" s="17">
        <v>30.960523999999999</v>
      </c>
      <c r="T25" s="17">
        <v>31.066586000000001</v>
      </c>
      <c r="U25" s="17">
        <v>31.291864</v>
      </c>
      <c r="V25" s="17">
        <v>31.41526</v>
      </c>
      <c r="W25" s="17">
        <v>31.599684</v>
      </c>
      <c r="X25" s="17">
        <v>31.861205999999999</v>
      </c>
      <c r="Y25" s="17">
        <v>32.026885999999998</v>
      </c>
      <c r="Z25" s="17">
        <v>32.214367000000003</v>
      </c>
      <c r="AA25" s="17">
        <v>32.473202000000001</v>
      </c>
      <c r="AB25" s="17">
        <v>32.699218999999999</v>
      </c>
      <c r="AC25" s="17">
        <v>32.948684999999998</v>
      </c>
      <c r="AD25" s="17">
        <v>33.162211999999997</v>
      </c>
      <c r="AE25" s="17">
        <v>33.245711999999997</v>
      </c>
      <c r="AF25" s="17">
        <v>33.402473000000001</v>
      </c>
      <c r="AG25" s="17">
        <v>33.590504000000003</v>
      </c>
      <c r="AH25" s="17">
        <v>33.792225000000002</v>
      </c>
      <c r="AI25" s="17">
        <v>34.032508999999997</v>
      </c>
      <c r="AJ25" s="17">
        <v>34.183624000000002</v>
      </c>
      <c r="AK25" s="17">
        <v>34.480891999999997</v>
      </c>
      <c r="AL25" s="15">
        <v>7.7980000000000002E-3</v>
      </c>
    </row>
    <row r="26" spans="1:38" ht="15" customHeight="1" x14ac:dyDescent="0.25">
      <c r="A26" s="7" t="s">
        <v>1117</v>
      </c>
      <c r="B26" s="11" t="s">
        <v>1118</v>
      </c>
      <c r="C26" s="16">
        <v>4.3450249999999997</v>
      </c>
      <c r="D26" s="16">
        <v>4.3810019999999996</v>
      </c>
      <c r="E26" s="16">
        <v>4.74064</v>
      </c>
      <c r="F26" s="16">
        <v>4.6168089999999999</v>
      </c>
      <c r="G26" s="16">
        <v>4.6039300000000001</v>
      </c>
      <c r="H26" s="16">
        <v>4.5947300000000002</v>
      </c>
      <c r="I26" s="16">
        <v>4.5927730000000002</v>
      </c>
      <c r="J26" s="16">
        <v>4.589798</v>
      </c>
      <c r="K26" s="16">
        <v>4.5821870000000002</v>
      </c>
      <c r="L26" s="16">
        <v>4.5751670000000004</v>
      </c>
      <c r="M26" s="16">
        <v>4.5735109999999999</v>
      </c>
      <c r="N26" s="16">
        <v>4.5734490000000001</v>
      </c>
      <c r="O26" s="16">
        <v>4.5740860000000003</v>
      </c>
      <c r="P26" s="16">
        <v>4.571599</v>
      </c>
      <c r="Q26" s="16">
        <v>4.5703279999999999</v>
      </c>
      <c r="R26" s="16">
        <v>4.5689760000000001</v>
      </c>
      <c r="S26" s="16">
        <v>4.565239</v>
      </c>
      <c r="T26" s="16">
        <v>4.5604779999999998</v>
      </c>
      <c r="U26" s="16">
        <v>4.55497</v>
      </c>
      <c r="V26" s="16">
        <v>4.5505000000000004</v>
      </c>
      <c r="W26" s="16">
        <v>4.542916</v>
      </c>
      <c r="X26" s="16">
        <v>4.5349930000000001</v>
      </c>
      <c r="Y26" s="16">
        <v>4.5272189999999997</v>
      </c>
      <c r="Z26" s="16">
        <v>4.52142</v>
      </c>
      <c r="AA26" s="16">
        <v>4.5183540000000004</v>
      </c>
      <c r="AB26" s="16">
        <v>4.5168460000000001</v>
      </c>
      <c r="AC26" s="16">
        <v>4.5154500000000004</v>
      </c>
      <c r="AD26" s="16">
        <v>4.5163099999999998</v>
      </c>
      <c r="AE26" s="16">
        <v>4.519501</v>
      </c>
      <c r="AF26" s="16">
        <v>4.5224080000000004</v>
      </c>
      <c r="AG26" s="16">
        <v>4.5256150000000002</v>
      </c>
      <c r="AH26" s="16">
        <v>4.5287870000000003</v>
      </c>
      <c r="AI26" s="16">
        <v>4.5318849999999999</v>
      </c>
      <c r="AJ26" s="16">
        <v>4.5341719999999999</v>
      </c>
      <c r="AK26" s="16">
        <v>4.5356719999999999</v>
      </c>
      <c r="AL26" s="13">
        <v>1.052E-3</v>
      </c>
    </row>
    <row r="27" spans="1:38" ht="15" customHeight="1" x14ac:dyDescent="0.25">
      <c r="A27" s="7" t="s">
        <v>1119</v>
      </c>
      <c r="B27" s="11" t="s">
        <v>1120</v>
      </c>
      <c r="C27" s="16">
        <v>3.105483</v>
      </c>
      <c r="D27" s="16">
        <v>3.1470180000000001</v>
      </c>
      <c r="E27" s="16">
        <v>3.3196539999999999</v>
      </c>
      <c r="F27" s="16">
        <v>3.2721770000000001</v>
      </c>
      <c r="G27" s="16">
        <v>3.2553230000000002</v>
      </c>
      <c r="H27" s="16">
        <v>3.239563</v>
      </c>
      <c r="I27" s="16">
        <v>3.2296330000000002</v>
      </c>
      <c r="J27" s="16">
        <v>3.2236090000000002</v>
      </c>
      <c r="K27" s="16">
        <v>3.2169620000000001</v>
      </c>
      <c r="L27" s="16">
        <v>3.2172160000000001</v>
      </c>
      <c r="M27" s="16">
        <v>3.2279300000000002</v>
      </c>
      <c r="N27" s="16">
        <v>3.2431190000000001</v>
      </c>
      <c r="O27" s="16">
        <v>3.2634690000000002</v>
      </c>
      <c r="P27" s="16">
        <v>3.280697</v>
      </c>
      <c r="Q27" s="16">
        <v>3.3027880000000001</v>
      </c>
      <c r="R27" s="16">
        <v>3.3275190000000001</v>
      </c>
      <c r="S27" s="16">
        <v>3.3537910000000002</v>
      </c>
      <c r="T27" s="16">
        <v>3.3805800000000001</v>
      </c>
      <c r="U27" s="16">
        <v>3.4075739999999999</v>
      </c>
      <c r="V27" s="16">
        <v>3.4357350000000002</v>
      </c>
      <c r="W27" s="16">
        <v>3.4613749999999999</v>
      </c>
      <c r="X27" s="16">
        <v>3.4874779999999999</v>
      </c>
      <c r="Y27" s="16">
        <v>3.5145059999999999</v>
      </c>
      <c r="Z27" s="16">
        <v>3.543704</v>
      </c>
      <c r="AA27" s="16">
        <v>3.5753439999999999</v>
      </c>
      <c r="AB27" s="16">
        <v>3.607656</v>
      </c>
      <c r="AC27" s="16">
        <v>3.6391239999999998</v>
      </c>
      <c r="AD27" s="16">
        <v>3.6740390000000001</v>
      </c>
      <c r="AE27" s="16">
        <v>3.711999</v>
      </c>
      <c r="AF27" s="16">
        <v>3.7510829999999999</v>
      </c>
      <c r="AG27" s="16">
        <v>3.7895500000000002</v>
      </c>
      <c r="AH27" s="16">
        <v>3.8283260000000001</v>
      </c>
      <c r="AI27" s="16">
        <v>3.8677679999999999</v>
      </c>
      <c r="AJ27" s="16">
        <v>3.9059349999999999</v>
      </c>
      <c r="AK27" s="16">
        <v>3.9430719999999999</v>
      </c>
      <c r="AL27" s="13">
        <v>6.8570000000000002E-3</v>
      </c>
    </row>
    <row r="28" spans="1:38" ht="15" customHeight="1" x14ac:dyDescent="0.25">
      <c r="A28" s="7"/>
      <c r="B28" s="11" t="s">
        <v>1122</v>
      </c>
      <c r="C28" s="356">
        <v>9.3323600000000013</v>
      </c>
      <c r="D28" s="356">
        <v>9.4473660000000006</v>
      </c>
      <c r="E28" s="356">
        <v>9.8144210000000012</v>
      </c>
      <c r="F28" s="356">
        <v>10.197164999999998</v>
      </c>
      <c r="G28" s="356">
        <v>10.657692000000001</v>
      </c>
      <c r="H28" s="356">
        <v>10.861523</v>
      </c>
      <c r="I28" s="356">
        <v>11.026878</v>
      </c>
      <c r="J28" s="356">
        <v>11.180894</v>
      </c>
      <c r="K28" s="356">
        <v>11.231114</v>
      </c>
      <c r="L28" s="356">
        <v>11.290826000000001</v>
      </c>
      <c r="M28" s="356">
        <v>11.368162</v>
      </c>
      <c r="N28" s="356">
        <v>11.469213</v>
      </c>
      <c r="O28" s="356">
        <v>11.578707000000001</v>
      </c>
      <c r="P28" s="356">
        <v>11.65428</v>
      </c>
      <c r="Q28" s="356">
        <v>11.721439999999999</v>
      </c>
      <c r="R28" s="356">
        <v>11.780919000000001</v>
      </c>
      <c r="S28" s="356">
        <v>11.858212000000002</v>
      </c>
      <c r="T28" s="356">
        <v>11.925132</v>
      </c>
      <c r="U28" s="356">
        <v>12.006141</v>
      </c>
      <c r="V28" s="356">
        <v>12.087898000000001</v>
      </c>
      <c r="W28" s="356">
        <v>12.146975000000001</v>
      </c>
      <c r="X28" s="356">
        <v>12.264868</v>
      </c>
      <c r="Y28" s="356">
        <v>12.371978</v>
      </c>
      <c r="Z28" s="356">
        <v>12.458339</v>
      </c>
      <c r="AA28" s="356">
        <v>12.553984</v>
      </c>
      <c r="AB28" s="356">
        <v>12.634516999999999</v>
      </c>
      <c r="AC28" s="356">
        <v>12.696679</v>
      </c>
      <c r="AD28" s="356">
        <v>12.772575</v>
      </c>
      <c r="AE28" s="356">
        <v>12.831937</v>
      </c>
      <c r="AF28" s="356">
        <v>12.897775000000001</v>
      </c>
      <c r="AG28" s="356">
        <v>12.944677000000002</v>
      </c>
      <c r="AH28" s="356">
        <v>12.996184</v>
      </c>
      <c r="AI28" s="356">
        <v>13.059524000000001</v>
      </c>
      <c r="AJ28" s="356">
        <v>13.115217000000001</v>
      </c>
      <c r="AK28" s="356">
        <v>13.18196</v>
      </c>
      <c r="AL28" s="357">
        <v>1.0145460804318329E-2</v>
      </c>
    </row>
    <row r="29" spans="1:38" ht="15" customHeight="1" x14ac:dyDescent="0.25">
      <c r="A29" s="7" t="s">
        <v>1121</v>
      </c>
      <c r="B29" s="11" t="s">
        <v>1857</v>
      </c>
      <c r="C29" s="16">
        <v>7.7222770000000001</v>
      </c>
      <c r="D29" s="16">
        <v>7.7679859999999996</v>
      </c>
      <c r="E29" s="16">
        <v>7.9786010000000003</v>
      </c>
      <c r="F29" s="16">
        <v>8.1855519999999995</v>
      </c>
      <c r="G29" s="16">
        <v>8.4838810000000002</v>
      </c>
      <c r="H29" s="16">
        <v>8.6413399999999996</v>
      </c>
      <c r="I29" s="16">
        <v>8.7622520000000002</v>
      </c>
      <c r="J29" s="16">
        <v>8.8565059999999995</v>
      </c>
      <c r="K29" s="16">
        <v>8.8409270000000006</v>
      </c>
      <c r="L29" s="16">
        <v>8.8433770000000003</v>
      </c>
      <c r="M29" s="16">
        <v>8.8669060000000002</v>
      </c>
      <c r="N29" s="16">
        <v>8.9262829999999997</v>
      </c>
      <c r="O29" s="16">
        <v>9.0011480000000006</v>
      </c>
      <c r="P29" s="16">
        <v>9.0624079999999996</v>
      </c>
      <c r="Q29" s="16">
        <v>9.1217179999999995</v>
      </c>
      <c r="R29" s="16">
        <v>9.1744260000000004</v>
      </c>
      <c r="S29" s="16">
        <v>9.2476870000000009</v>
      </c>
      <c r="T29" s="16">
        <v>9.3138249999999996</v>
      </c>
      <c r="U29" s="16">
        <v>9.3835259999999998</v>
      </c>
      <c r="V29" s="16">
        <v>9.4604110000000006</v>
      </c>
      <c r="W29" s="16">
        <v>9.5087980000000005</v>
      </c>
      <c r="X29" s="16">
        <v>9.6059190000000001</v>
      </c>
      <c r="Y29" s="16">
        <v>9.709562</v>
      </c>
      <c r="Z29" s="16">
        <v>9.7862740000000006</v>
      </c>
      <c r="AA29" s="16">
        <v>9.8595559999999995</v>
      </c>
      <c r="AB29" s="16">
        <v>9.9319919999999993</v>
      </c>
      <c r="AC29" s="16">
        <v>9.9857669999999992</v>
      </c>
      <c r="AD29" s="16">
        <v>10.053089</v>
      </c>
      <c r="AE29" s="16">
        <v>10.10735</v>
      </c>
      <c r="AF29" s="16">
        <v>10.173572</v>
      </c>
      <c r="AG29" s="16">
        <v>10.214035000000001</v>
      </c>
      <c r="AH29" s="16">
        <v>10.253772</v>
      </c>
      <c r="AI29" s="16">
        <v>10.306931000000001</v>
      </c>
      <c r="AJ29" s="16">
        <v>10.357105000000001</v>
      </c>
      <c r="AK29" s="16">
        <v>10.414797999999999</v>
      </c>
      <c r="AL29" s="13">
        <v>8.9250000000000006E-3</v>
      </c>
    </row>
    <row r="30" spans="1:38" ht="15" customHeight="1" x14ac:dyDescent="0.25">
      <c r="A30" s="7" t="s">
        <v>1128</v>
      </c>
      <c r="B30" s="11" t="s">
        <v>1858</v>
      </c>
      <c r="C30" s="16">
        <v>1.591399</v>
      </c>
      <c r="D30" s="16">
        <v>1.612255</v>
      </c>
      <c r="E30" s="16">
        <v>1.724628</v>
      </c>
      <c r="F30" s="16">
        <v>1.817053</v>
      </c>
      <c r="G30" s="16">
        <v>1.8704609999999999</v>
      </c>
      <c r="H30" s="16">
        <v>1.904533</v>
      </c>
      <c r="I30" s="16">
        <v>1.928976</v>
      </c>
      <c r="J30" s="16">
        <v>1.9487380000000001</v>
      </c>
      <c r="K30" s="16">
        <v>1.96787</v>
      </c>
      <c r="L30" s="16">
        <v>1.9851319999999999</v>
      </c>
      <c r="M30" s="16">
        <v>2.012273</v>
      </c>
      <c r="N30" s="16">
        <v>2.0272800000000002</v>
      </c>
      <c r="O30" s="16">
        <v>2.0485760000000002</v>
      </c>
      <c r="P30" s="16">
        <v>2.056222</v>
      </c>
      <c r="Q30" s="16">
        <v>2.0640719999999999</v>
      </c>
      <c r="R30" s="16">
        <v>2.070843</v>
      </c>
      <c r="S30" s="16">
        <v>2.074875</v>
      </c>
      <c r="T30" s="16">
        <v>2.0756570000000001</v>
      </c>
      <c r="U30" s="16">
        <v>2.0869650000000002</v>
      </c>
      <c r="V30" s="16">
        <v>2.0918369999999999</v>
      </c>
      <c r="W30" s="16">
        <v>2.1025269999999998</v>
      </c>
      <c r="X30" s="16">
        <v>2.1232989999999998</v>
      </c>
      <c r="Y30" s="16">
        <v>2.1267659999999999</v>
      </c>
      <c r="Z30" s="16">
        <v>2.136415</v>
      </c>
      <c r="AA30" s="16">
        <v>2.1587779999999999</v>
      </c>
      <c r="AB30" s="16">
        <v>2.1668750000000001</v>
      </c>
      <c r="AC30" s="16">
        <v>2.175262</v>
      </c>
      <c r="AD30" s="16">
        <v>2.1838359999999999</v>
      </c>
      <c r="AE30" s="16">
        <v>2.1889370000000001</v>
      </c>
      <c r="AF30" s="16">
        <v>2.1885530000000002</v>
      </c>
      <c r="AG30" s="16">
        <v>2.1949920000000001</v>
      </c>
      <c r="AH30" s="16">
        <v>2.2067619999999999</v>
      </c>
      <c r="AI30" s="16">
        <v>2.2169430000000001</v>
      </c>
      <c r="AJ30" s="16">
        <v>2.2224620000000002</v>
      </c>
      <c r="AK30" s="16">
        <v>2.2315119999999999</v>
      </c>
      <c r="AL30" s="13">
        <v>9.8989999999999998E-3</v>
      </c>
    </row>
    <row r="31" spans="1:38" ht="15" customHeight="1" x14ac:dyDescent="0.25">
      <c r="A31" s="7" t="s">
        <v>1129</v>
      </c>
      <c r="B31" s="11" t="s">
        <v>1859</v>
      </c>
      <c r="C31" s="16">
        <v>1.8683999999999999E-2</v>
      </c>
      <c r="D31" s="16">
        <v>6.7125000000000004E-2</v>
      </c>
      <c r="E31" s="16">
        <v>0.111192</v>
      </c>
      <c r="F31" s="16">
        <v>0.19456000000000001</v>
      </c>
      <c r="G31" s="16">
        <v>0.30335000000000001</v>
      </c>
      <c r="H31" s="16">
        <v>0.31564999999999999</v>
      </c>
      <c r="I31" s="16">
        <v>0.33565</v>
      </c>
      <c r="J31" s="16">
        <v>0.37564999999999998</v>
      </c>
      <c r="K31" s="16">
        <v>0.422317</v>
      </c>
      <c r="L31" s="16">
        <v>0.46231699999999998</v>
      </c>
      <c r="M31" s="16">
        <v>0.488983</v>
      </c>
      <c r="N31" s="16">
        <v>0.51565000000000005</v>
      </c>
      <c r="O31" s="16">
        <v>0.52898299999999998</v>
      </c>
      <c r="P31" s="16">
        <v>0.53564999999999996</v>
      </c>
      <c r="Q31" s="16">
        <v>0.53564999999999996</v>
      </c>
      <c r="R31" s="16">
        <v>0.53564999999999996</v>
      </c>
      <c r="S31" s="16">
        <v>0.53564999999999996</v>
      </c>
      <c r="T31" s="16">
        <v>0.53564999999999996</v>
      </c>
      <c r="U31" s="16">
        <v>0.53564999999999996</v>
      </c>
      <c r="V31" s="16">
        <v>0.53564999999999996</v>
      </c>
      <c r="W31" s="16">
        <v>0.53564999999999996</v>
      </c>
      <c r="X31" s="16">
        <v>0.53564999999999996</v>
      </c>
      <c r="Y31" s="16">
        <v>0.53564999999999996</v>
      </c>
      <c r="Z31" s="16">
        <v>0.53564999999999996</v>
      </c>
      <c r="AA31" s="16">
        <v>0.53564999999999996</v>
      </c>
      <c r="AB31" s="16">
        <v>0.53564999999999996</v>
      </c>
      <c r="AC31" s="16">
        <v>0.53564999999999996</v>
      </c>
      <c r="AD31" s="16">
        <v>0.53564999999999996</v>
      </c>
      <c r="AE31" s="16">
        <v>0.53564999999999996</v>
      </c>
      <c r="AF31" s="16">
        <v>0.53564999999999996</v>
      </c>
      <c r="AG31" s="16">
        <v>0.53564999999999996</v>
      </c>
      <c r="AH31" s="16">
        <v>0.53564999999999996</v>
      </c>
      <c r="AI31" s="16">
        <v>0.53564999999999996</v>
      </c>
      <c r="AJ31" s="16">
        <v>0.53564999999999996</v>
      </c>
      <c r="AK31" s="16">
        <v>0.53564999999999996</v>
      </c>
      <c r="AL31" s="13">
        <v>6.4960000000000004E-2</v>
      </c>
    </row>
    <row r="32" spans="1:38" ht="15" customHeight="1" x14ac:dyDescent="0.25">
      <c r="A32" s="7" t="s">
        <v>1123</v>
      </c>
      <c r="B32" s="11" t="s">
        <v>1860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3" t="s">
        <v>9</v>
      </c>
    </row>
    <row r="33" spans="1:38" ht="15" customHeight="1" x14ac:dyDescent="0.25">
      <c r="A33" s="7" t="s">
        <v>1124</v>
      </c>
      <c r="B33" s="11" t="s">
        <v>1861</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c r="W33" s="16">
        <v>0</v>
      </c>
      <c r="X33" s="16">
        <v>0</v>
      </c>
      <c r="Y33" s="16">
        <v>0</v>
      </c>
      <c r="Z33" s="16">
        <v>0</v>
      </c>
      <c r="AA33" s="16">
        <v>0</v>
      </c>
      <c r="AB33" s="16">
        <v>0</v>
      </c>
      <c r="AC33" s="16">
        <v>0</v>
      </c>
      <c r="AD33" s="16">
        <v>0</v>
      </c>
      <c r="AE33" s="16">
        <v>0</v>
      </c>
      <c r="AF33" s="16">
        <v>0</v>
      </c>
      <c r="AG33" s="16">
        <v>0</v>
      </c>
      <c r="AH33" s="16">
        <v>0</v>
      </c>
      <c r="AI33" s="16">
        <v>0</v>
      </c>
      <c r="AJ33" s="16">
        <v>0</v>
      </c>
      <c r="AK33" s="16">
        <v>0</v>
      </c>
      <c r="AL33" s="13" t="s">
        <v>9</v>
      </c>
    </row>
    <row r="34" spans="1:38" ht="15" customHeight="1" x14ac:dyDescent="0.25">
      <c r="A34" s="7"/>
      <c r="B34" s="11" t="s">
        <v>1862</v>
      </c>
      <c r="C34" s="16">
        <v>0.75080899999999995</v>
      </c>
      <c r="D34" s="16">
        <v>0.69365900000000003</v>
      </c>
      <c r="E34" s="16">
        <v>0.73432799999999998</v>
      </c>
      <c r="F34" s="16">
        <v>0.76127299999999998</v>
      </c>
      <c r="G34" s="16">
        <v>0.77100600000000008</v>
      </c>
      <c r="H34" s="16">
        <v>0.808446</v>
      </c>
      <c r="I34" s="16">
        <v>0.82994000000000001</v>
      </c>
      <c r="J34" s="16">
        <v>0.847414</v>
      </c>
      <c r="K34" s="16">
        <v>0.85833700000000002</v>
      </c>
      <c r="L34" s="16">
        <v>0.87437299999999996</v>
      </c>
      <c r="M34" s="16">
        <v>0.88807000000000003</v>
      </c>
      <c r="N34" s="16">
        <v>0.90590899999999996</v>
      </c>
      <c r="O34" s="16">
        <v>0.92358299999999993</v>
      </c>
      <c r="P34" s="16">
        <v>0.94012399999999996</v>
      </c>
      <c r="Q34" s="16">
        <v>0.95363799999999999</v>
      </c>
      <c r="R34" s="16">
        <v>0.96988300000000005</v>
      </c>
      <c r="S34" s="16">
        <v>0.98687400000000003</v>
      </c>
      <c r="T34" s="16">
        <v>1.0020739999999999</v>
      </c>
      <c r="U34" s="16">
        <v>1.0203249999999999</v>
      </c>
      <c r="V34" s="16">
        <v>1.0378430000000001</v>
      </c>
      <c r="W34" s="16">
        <v>1.0565560000000001</v>
      </c>
      <c r="X34" s="16">
        <v>1.079078</v>
      </c>
      <c r="Y34" s="16">
        <v>1.097305</v>
      </c>
      <c r="Z34" s="16">
        <v>1.116765</v>
      </c>
      <c r="AA34" s="16">
        <v>1.136487</v>
      </c>
      <c r="AB34" s="16">
        <v>1.158641</v>
      </c>
      <c r="AC34" s="16">
        <v>1.179972</v>
      </c>
      <c r="AD34" s="16">
        <v>1.2033149999999999</v>
      </c>
      <c r="AE34" s="16">
        <v>1.2241740000000001</v>
      </c>
      <c r="AF34" s="16">
        <v>1.248016</v>
      </c>
      <c r="AG34" s="16">
        <v>1.2708569999999999</v>
      </c>
      <c r="AH34" s="16">
        <v>1.2949519999999999</v>
      </c>
      <c r="AI34" s="16">
        <v>1.322195</v>
      </c>
      <c r="AJ34" s="16">
        <v>1.3492169999999999</v>
      </c>
      <c r="AK34" s="16">
        <v>1.3794119999999999</v>
      </c>
      <c r="AL34" s="357">
        <v>2.1049761723168414E-2</v>
      </c>
    </row>
    <row r="35" spans="1:38" ht="15" customHeight="1" x14ac:dyDescent="0.25">
      <c r="A35" s="7" t="s">
        <v>1126</v>
      </c>
      <c r="B35" s="11" t="s">
        <v>1863</v>
      </c>
      <c r="C35" s="16">
        <v>7.1931999999999996E-2</v>
      </c>
      <c r="D35" s="16">
        <v>8.0696000000000004E-2</v>
      </c>
      <c r="E35" s="16">
        <v>9.2313000000000006E-2</v>
      </c>
      <c r="F35" s="16">
        <v>0.10346</v>
      </c>
      <c r="G35" s="16">
        <v>0.11099000000000001</v>
      </c>
      <c r="H35" s="16">
        <v>0.15176000000000001</v>
      </c>
      <c r="I35" s="16">
        <v>0.16752400000000001</v>
      </c>
      <c r="J35" s="16">
        <v>0.179427</v>
      </c>
      <c r="K35" s="16">
        <v>0.18547</v>
      </c>
      <c r="L35" s="16">
        <v>0.19783899999999999</v>
      </c>
      <c r="M35" s="16">
        <v>0.214507</v>
      </c>
      <c r="N35" s="16">
        <v>0.229409</v>
      </c>
      <c r="O35" s="16">
        <v>0.24454000000000001</v>
      </c>
      <c r="P35" s="16">
        <v>0.259654</v>
      </c>
      <c r="Q35" s="16">
        <v>0.27488600000000002</v>
      </c>
      <c r="R35" s="16">
        <v>0.29074</v>
      </c>
      <c r="S35" s="16">
        <v>0.30609399999999998</v>
      </c>
      <c r="T35" s="16">
        <v>0.32172200000000001</v>
      </c>
      <c r="U35" s="16">
        <v>0.33836300000000002</v>
      </c>
      <c r="V35" s="16">
        <v>0.35409099999999999</v>
      </c>
      <c r="W35" s="16">
        <v>0.36926199999999998</v>
      </c>
      <c r="X35" s="16">
        <v>0.390069</v>
      </c>
      <c r="Y35" s="16">
        <v>0.40675600000000001</v>
      </c>
      <c r="Z35" s="16">
        <v>0.42448799999999998</v>
      </c>
      <c r="AA35" s="16">
        <v>0.444025</v>
      </c>
      <c r="AB35" s="16">
        <v>0.464694</v>
      </c>
      <c r="AC35" s="16">
        <v>0.48197899999999999</v>
      </c>
      <c r="AD35" s="16">
        <v>0.50139900000000004</v>
      </c>
      <c r="AE35" s="16">
        <v>0.52071900000000004</v>
      </c>
      <c r="AF35" s="16">
        <v>0.54117000000000004</v>
      </c>
      <c r="AG35" s="16">
        <v>0.56103599999999998</v>
      </c>
      <c r="AH35" s="16">
        <v>0.58397699999999997</v>
      </c>
      <c r="AI35" s="16">
        <v>0.60791099999999998</v>
      </c>
      <c r="AJ35" s="16">
        <v>0.63226099999999996</v>
      </c>
      <c r="AK35" s="16">
        <v>0.65822999999999998</v>
      </c>
      <c r="AL35" s="357">
        <v>6.5668159248609248E-2</v>
      </c>
    </row>
    <row r="36" spans="1:38" ht="15" customHeight="1" x14ac:dyDescent="0.25">
      <c r="A36" s="7" t="s">
        <v>1127</v>
      </c>
      <c r="B36" s="11" t="s">
        <v>1864</v>
      </c>
      <c r="C36" s="16">
        <v>0.67887699999999995</v>
      </c>
      <c r="D36" s="16">
        <v>0.61296300000000004</v>
      </c>
      <c r="E36" s="16">
        <v>0.642015</v>
      </c>
      <c r="F36" s="16">
        <v>0.65781299999999998</v>
      </c>
      <c r="G36" s="16">
        <v>0.66001600000000005</v>
      </c>
      <c r="H36" s="16">
        <v>0.65668599999999999</v>
      </c>
      <c r="I36" s="16">
        <v>0.662416</v>
      </c>
      <c r="J36" s="16">
        <v>0.667987</v>
      </c>
      <c r="K36" s="16">
        <v>0.67286699999999999</v>
      </c>
      <c r="L36" s="16">
        <v>0.67653399999999997</v>
      </c>
      <c r="M36" s="16">
        <v>0.67356300000000002</v>
      </c>
      <c r="N36" s="16">
        <v>0.67649999999999999</v>
      </c>
      <c r="O36" s="16">
        <v>0.67904299999999995</v>
      </c>
      <c r="P36" s="16">
        <v>0.68047000000000002</v>
      </c>
      <c r="Q36" s="16">
        <v>0.67875200000000002</v>
      </c>
      <c r="R36" s="16">
        <v>0.67914300000000005</v>
      </c>
      <c r="S36" s="16">
        <v>0.68078000000000005</v>
      </c>
      <c r="T36" s="16">
        <v>0.68035199999999996</v>
      </c>
      <c r="U36" s="16">
        <v>0.68196199999999996</v>
      </c>
      <c r="V36" s="16">
        <v>0.68375200000000003</v>
      </c>
      <c r="W36" s="16">
        <v>0.68729399999999996</v>
      </c>
      <c r="X36" s="16">
        <v>0.68900899999999998</v>
      </c>
      <c r="Y36" s="16">
        <v>0.69054899999999997</v>
      </c>
      <c r="Z36" s="16">
        <v>0.69227700000000003</v>
      </c>
      <c r="AA36" s="16">
        <v>0.69246200000000002</v>
      </c>
      <c r="AB36" s="16">
        <v>0.69394699999999998</v>
      </c>
      <c r="AC36" s="16">
        <v>0.69799299999999997</v>
      </c>
      <c r="AD36" s="16">
        <v>0.70191599999999998</v>
      </c>
      <c r="AE36" s="16">
        <v>0.70345500000000005</v>
      </c>
      <c r="AF36" s="16">
        <v>0.70684599999999997</v>
      </c>
      <c r="AG36" s="16">
        <v>0.70982100000000004</v>
      </c>
      <c r="AH36" s="16">
        <v>0.71097500000000002</v>
      </c>
      <c r="AI36" s="16">
        <v>0.71428400000000003</v>
      </c>
      <c r="AJ36" s="16">
        <v>0.71695600000000004</v>
      </c>
      <c r="AK36" s="16">
        <v>0.72118199999999999</v>
      </c>
      <c r="AL36" s="357">
        <v>4.939034514816365E-3</v>
      </c>
    </row>
    <row r="37" spans="1:38" ht="15" customHeight="1" x14ac:dyDescent="0.25">
      <c r="A37" s="7" t="s">
        <v>1125</v>
      </c>
      <c r="B37" s="11" t="s">
        <v>1865</v>
      </c>
      <c r="C37" s="16">
        <v>9.9699989999999996</v>
      </c>
      <c r="D37" s="16">
        <v>9.0154610000000002</v>
      </c>
      <c r="E37" s="16">
        <v>9.5673530000000007</v>
      </c>
      <c r="F37" s="16">
        <v>10.178958</v>
      </c>
      <c r="G37" s="16">
        <v>9.7463999999999995</v>
      </c>
      <c r="H37" s="16">
        <v>9.6598249999999997</v>
      </c>
      <c r="I37" s="16">
        <v>9.7905619999999995</v>
      </c>
      <c r="J37" s="16">
        <v>9.8957660000000001</v>
      </c>
      <c r="K37" s="16">
        <v>9.7439820000000008</v>
      </c>
      <c r="L37" s="16">
        <v>9.8207439999999995</v>
      </c>
      <c r="M37" s="16">
        <v>9.8100620000000003</v>
      </c>
      <c r="N37" s="16">
        <v>9.9161990000000007</v>
      </c>
      <c r="O37" s="16">
        <v>10.088870999999999</v>
      </c>
      <c r="P37" s="16">
        <v>10.172763</v>
      </c>
      <c r="Q37" s="16">
        <v>10.173712999999999</v>
      </c>
      <c r="R37" s="16">
        <v>10.223623999999999</v>
      </c>
      <c r="S37" s="16">
        <v>10.196405</v>
      </c>
      <c r="T37" s="16">
        <v>10.198323</v>
      </c>
      <c r="U37" s="16">
        <v>10.302854999999999</v>
      </c>
      <c r="V37" s="16">
        <v>10.303284</v>
      </c>
      <c r="W37" s="16">
        <v>10.391859999999999</v>
      </c>
      <c r="X37" s="16">
        <v>10.49479</v>
      </c>
      <c r="Y37" s="16">
        <v>10.515878000000001</v>
      </c>
      <c r="Z37" s="16">
        <v>10.574138</v>
      </c>
      <c r="AA37" s="16">
        <v>10.689033999999999</v>
      </c>
      <c r="AB37" s="16">
        <v>10.781563999999999</v>
      </c>
      <c r="AC37" s="16">
        <v>10.917464000000001</v>
      </c>
      <c r="AD37" s="16">
        <v>10.995972</v>
      </c>
      <c r="AE37" s="16">
        <v>10.958104000000001</v>
      </c>
      <c r="AF37" s="16">
        <v>10.983193999999999</v>
      </c>
      <c r="AG37" s="16">
        <v>11.059808</v>
      </c>
      <c r="AH37" s="16">
        <v>11.143978000000001</v>
      </c>
      <c r="AI37" s="16">
        <v>11.251142</v>
      </c>
      <c r="AJ37" s="16">
        <v>11.279088</v>
      </c>
      <c r="AK37" s="16">
        <v>11.440778</v>
      </c>
      <c r="AL37" s="13">
        <v>7.2459999999999998E-3</v>
      </c>
    </row>
    <row r="38" spans="1:38" ht="15" customHeight="1" x14ac:dyDescent="0.25"/>
    <row r="39" spans="1:38" ht="15" customHeight="1" x14ac:dyDescent="0.25">
      <c r="A39" s="7" t="s">
        <v>1131</v>
      </c>
      <c r="B39" s="10" t="s">
        <v>1866</v>
      </c>
      <c r="C39" s="17">
        <v>0.18446899999999999</v>
      </c>
      <c r="D39" s="17">
        <v>0.37839499999999998</v>
      </c>
      <c r="E39" s="17">
        <v>0.115051</v>
      </c>
      <c r="F39" s="17">
        <v>0.126831</v>
      </c>
      <c r="G39" s="17">
        <v>0.138958</v>
      </c>
      <c r="H39" s="17">
        <v>0.15049199999999999</v>
      </c>
      <c r="I39" s="17">
        <v>0.16011600000000001</v>
      </c>
      <c r="J39" s="17">
        <v>0.172766</v>
      </c>
      <c r="K39" s="17">
        <v>0.177729</v>
      </c>
      <c r="L39" s="17">
        <v>0.178507</v>
      </c>
      <c r="M39" s="17">
        <v>0.180647</v>
      </c>
      <c r="N39" s="17">
        <v>0.18302299999999999</v>
      </c>
      <c r="O39" s="17">
        <v>0.18505099999999999</v>
      </c>
      <c r="P39" s="17">
        <v>0.171991</v>
      </c>
      <c r="Q39" s="17">
        <v>0.17228099999999999</v>
      </c>
      <c r="R39" s="17">
        <v>0.18160399999999999</v>
      </c>
      <c r="S39" s="17">
        <v>0.18141399999999999</v>
      </c>
      <c r="T39" s="17">
        <v>0.18535799999999999</v>
      </c>
      <c r="U39" s="17">
        <v>0.17055899999999999</v>
      </c>
      <c r="V39" s="17">
        <v>0.17178199999999999</v>
      </c>
      <c r="W39" s="17">
        <v>0.18692400000000001</v>
      </c>
      <c r="X39" s="17">
        <v>0.174736</v>
      </c>
      <c r="Y39" s="17">
        <v>0.17249700000000001</v>
      </c>
      <c r="Z39" s="17">
        <v>0.17058599999999999</v>
      </c>
      <c r="AA39" s="17">
        <v>0.168346</v>
      </c>
      <c r="AB39" s="17">
        <v>0.166321</v>
      </c>
      <c r="AC39" s="17">
        <v>0.168018</v>
      </c>
      <c r="AD39" s="17">
        <v>0.16589699999999999</v>
      </c>
      <c r="AE39" s="17">
        <v>0.16365399999999999</v>
      </c>
      <c r="AF39" s="17">
        <v>0.164246</v>
      </c>
      <c r="AG39" s="17">
        <v>0.16036600000000001</v>
      </c>
      <c r="AH39" s="17">
        <v>0.15773400000000001</v>
      </c>
      <c r="AI39" s="17">
        <v>0.156166</v>
      </c>
      <c r="AJ39" s="17">
        <v>0.16484799999999999</v>
      </c>
      <c r="AK39" s="17">
        <v>0.15987799999999999</v>
      </c>
      <c r="AL39" s="15" t="s">
        <v>9</v>
      </c>
    </row>
    <row r="40" spans="1:38" ht="15" customHeight="1" x14ac:dyDescent="0.25"/>
    <row r="41" spans="1:38" ht="15" customHeight="1" x14ac:dyDescent="0.25">
      <c r="B41" s="10" t="s">
        <v>1132</v>
      </c>
    </row>
    <row r="42" spans="1:38" ht="15" customHeight="1" x14ac:dyDescent="0.25"/>
    <row r="43" spans="1:38" ht="15" customHeight="1" x14ac:dyDescent="0.25">
      <c r="B43" s="10" t="s">
        <v>1133</v>
      </c>
    </row>
    <row r="44" spans="1:38" ht="15" customHeight="1" x14ac:dyDescent="0.25">
      <c r="A44" s="7" t="s">
        <v>1134</v>
      </c>
      <c r="B44" s="10" t="s">
        <v>1867</v>
      </c>
      <c r="C44" s="17">
        <v>2.5729690000000001</v>
      </c>
      <c r="D44" s="17">
        <v>3.0454129999999999</v>
      </c>
      <c r="E44" s="17">
        <v>3.061566</v>
      </c>
      <c r="F44" s="17">
        <v>3.3953329999999999</v>
      </c>
      <c r="G44" s="17">
        <v>3.6907930000000002</v>
      </c>
      <c r="H44" s="17">
        <v>3.6560450000000002</v>
      </c>
      <c r="I44" s="17">
        <v>3.6938550000000001</v>
      </c>
      <c r="J44" s="17">
        <v>3.8292929999999998</v>
      </c>
      <c r="K44" s="17">
        <v>3.942958</v>
      </c>
      <c r="L44" s="17">
        <v>4.0742969999999996</v>
      </c>
      <c r="M44" s="17">
        <v>4.1170600000000004</v>
      </c>
      <c r="N44" s="17">
        <v>4.1704730000000003</v>
      </c>
      <c r="O44" s="17">
        <v>4.1892379999999996</v>
      </c>
      <c r="P44" s="17">
        <v>4.2574930000000002</v>
      </c>
      <c r="Q44" s="17">
        <v>4.2617200000000004</v>
      </c>
      <c r="R44" s="17">
        <v>4.2652999999999999</v>
      </c>
      <c r="S44" s="17">
        <v>4.2745519999999999</v>
      </c>
      <c r="T44" s="17">
        <v>4.268643</v>
      </c>
      <c r="U44" s="17">
        <v>4.2683739999999997</v>
      </c>
      <c r="V44" s="17">
        <v>4.2562280000000001</v>
      </c>
      <c r="W44" s="17">
        <v>4.3491220000000004</v>
      </c>
      <c r="X44" s="17">
        <v>4.3619570000000003</v>
      </c>
      <c r="Y44" s="17">
        <v>4.4278810000000002</v>
      </c>
      <c r="Z44" s="17">
        <v>4.4744140000000003</v>
      </c>
      <c r="AA44" s="17">
        <v>4.498278</v>
      </c>
      <c r="AB44" s="17">
        <v>4.5260860000000003</v>
      </c>
      <c r="AC44" s="17">
        <v>4.5799820000000002</v>
      </c>
      <c r="AD44" s="17">
        <v>4.6162369999999999</v>
      </c>
      <c r="AE44" s="17">
        <v>4.6668120000000002</v>
      </c>
      <c r="AF44" s="17">
        <v>4.7080450000000003</v>
      </c>
      <c r="AG44" s="17">
        <v>4.750629</v>
      </c>
      <c r="AH44" s="17">
        <v>4.7947059999999997</v>
      </c>
      <c r="AI44" s="17">
        <v>4.8747420000000004</v>
      </c>
      <c r="AJ44" s="17">
        <v>4.936051</v>
      </c>
      <c r="AK44" s="17">
        <v>5.0145970000000002</v>
      </c>
      <c r="AL44" s="15">
        <v>1.5226999999999999E-2</v>
      </c>
    </row>
    <row r="45" spans="1:38" ht="15" customHeight="1" x14ac:dyDescent="0.25"/>
    <row r="46" spans="1:38" ht="15" customHeight="1" x14ac:dyDescent="0.25">
      <c r="B46" s="10" t="s">
        <v>1135</v>
      </c>
    </row>
    <row r="47" spans="1:38" ht="15" customHeight="1" x14ac:dyDescent="0.25">
      <c r="B47" s="10" t="s">
        <v>1868</v>
      </c>
    </row>
    <row r="48" spans="1:38" ht="15" customHeight="1" x14ac:dyDescent="0.25">
      <c r="A48" s="7" t="s">
        <v>1136</v>
      </c>
      <c r="B48" s="11" t="s">
        <v>1137</v>
      </c>
      <c r="C48" s="16">
        <v>10.296170999999999</v>
      </c>
      <c r="D48" s="16">
        <v>11.171783</v>
      </c>
      <c r="E48" s="16">
        <v>10.774915</v>
      </c>
      <c r="F48" s="16">
        <v>11.188276999999999</v>
      </c>
      <c r="G48" s="16">
        <v>11.473181</v>
      </c>
      <c r="H48" s="16">
        <v>11.585755000000001</v>
      </c>
      <c r="I48" s="16">
        <v>11.694032999999999</v>
      </c>
      <c r="J48" s="16">
        <v>11.943104999999999</v>
      </c>
      <c r="K48" s="16">
        <v>12.295752</v>
      </c>
      <c r="L48" s="16">
        <v>12.455883999999999</v>
      </c>
      <c r="M48" s="16">
        <v>12.493803</v>
      </c>
      <c r="N48" s="16">
        <v>12.574268999999999</v>
      </c>
      <c r="O48" s="16">
        <v>12.576947000000001</v>
      </c>
      <c r="P48" s="16">
        <v>12.740864999999999</v>
      </c>
      <c r="Q48" s="16">
        <v>12.740572</v>
      </c>
      <c r="R48" s="16">
        <v>12.777507999999999</v>
      </c>
      <c r="S48" s="16">
        <v>12.819475000000001</v>
      </c>
      <c r="T48" s="16">
        <v>12.861158</v>
      </c>
      <c r="U48" s="16">
        <v>12.901688</v>
      </c>
      <c r="V48" s="16">
        <v>12.937488999999999</v>
      </c>
      <c r="W48" s="16">
        <v>13.050877</v>
      </c>
      <c r="X48" s="16">
        <v>13.115227000000001</v>
      </c>
      <c r="Y48" s="16">
        <v>13.186914</v>
      </c>
      <c r="Z48" s="16">
        <v>13.237069999999999</v>
      </c>
      <c r="AA48" s="16">
        <v>13.275923000000001</v>
      </c>
      <c r="AB48" s="16">
        <v>13.342725</v>
      </c>
      <c r="AC48" s="16">
        <v>13.445876999999999</v>
      </c>
      <c r="AD48" s="16">
        <v>13.475281000000001</v>
      </c>
      <c r="AE48" s="16">
        <v>13.523982</v>
      </c>
      <c r="AF48" s="16">
        <v>13.613181000000001</v>
      </c>
      <c r="AG48" s="16">
        <v>13.682769</v>
      </c>
      <c r="AH48" s="16">
        <v>13.748711999999999</v>
      </c>
      <c r="AI48" s="16">
        <v>13.813663</v>
      </c>
      <c r="AJ48" s="16">
        <v>13.906304</v>
      </c>
      <c r="AK48" s="16">
        <v>13.987081</v>
      </c>
      <c r="AL48" s="13">
        <v>6.8339999999999998E-3</v>
      </c>
    </row>
    <row r="49" spans="1:38" ht="15" customHeight="1" x14ac:dyDescent="0.25">
      <c r="A49" s="7" t="s">
        <v>1138</v>
      </c>
      <c r="B49" s="11" t="s">
        <v>1139</v>
      </c>
      <c r="C49" s="16">
        <v>7.5035319999999999</v>
      </c>
      <c r="D49" s="16">
        <v>8.1074970000000004</v>
      </c>
      <c r="E49" s="16">
        <v>7.9601410000000001</v>
      </c>
      <c r="F49" s="16">
        <v>8.3343100000000003</v>
      </c>
      <c r="G49" s="16">
        <v>8.6877200000000006</v>
      </c>
      <c r="H49" s="16">
        <v>8.8813099999999991</v>
      </c>
      <c r="I49" s="16">
        <v>9.0773130000000002</v>
      </c>
      <c r="J49" s="16">
        <v>9.4108579999999993</v>
      </c>
      <c r="K49" s="16">
        <v>9.6872399999999992</v>
      </c>
      <c r="L49" s="16">
        <v>9.8119540000000001</v>
      </c>
      <c r="M49" s="16">
        <v>9.8209769999999992</v>
      </c>
      <c r="N49" s="16">
        <v>9.8760670000000008</v>
      </c>
      <c r="O49" s="16">
        <v>9.8553359999999994</v>
      </c>
      <c r="P49" s="16">
        <v>9.9887650000000008</v>
      </c>
      <c r="Q49" s="16">
        <v>9.9644569999999995</v>
      </c>
      <c r="R49" s="16">
        <v>9.9788580000000007</v>
      </c>
      <c r="S49" s="16">
        <v>9.9978189999999998</v>
      </c>
      <c r="T49" s="16">
        <v>10.015485</v>
      </c>
      <c r="U49" s="16">
        <v>10.031236</v>
      </c>
      <c r="V49" s="16">
        <v>10.042951</v>
      </c>
      <c r="W49" s="16">
        <v>10.130872999999999</v>
      </c>
      <c r="X49" s="16">
        <v>10.169294000000001</v>
      </c>
      <c r="Y49" s="16">
        <v>10.21706</v>
      </c>
      <c r="Z49" s="16">
        <v>10.245744999999999</v>
      </c>
      <c r="AA49" s="16">
        <v>10.265542</v>
      </c>
      <c r="AB49" s="16">
        <v>10.314356999999999</v>
      </c>
      <c r="AC49" s="16">
        <v>10.400888</v>
      </c>
      <c r="AD49" s="16">
        <v>10.415153</v>
      </c>
      <c r="AE49" s="16">
        <v>10.450844</v>
      </c>
      <c r="AF49" s="16">
        <v>10.525947</v>
      </c>
      <c r="AG49" s="16">
        <v>10.582286</v>
      </c>
      <c r="AH49" s="16">
        <v>10.635730000000001</v>
      </c>
      <c r="AI49" s="16">
        <v>10.688534000000001</v>
      </c>
      <c r="AJ49" s="16">
        <v>10.768774000000001</v>
      </c>
      <c r="AK49" s="16">
        <v>10.837103000000001</v>
      </c>
      <c r="AL49" s="13">
        <v>8.8319999999999996E-3</v>
      </c>
    </row>
    <row r="50" spans="1:38" ht="15" customHeight="1" x14ac:dyDescent="0.25">
      <c r="A50" s="7" t="s">
        <v>1140</v>
      </c>
      <c r="B50" s="11" t="s">
        <v>1869</v>
      </c>
      <c r="C50" s="16">
        <v>3.5984050000000001</v>
      </c>
      <c r="D50" s="16">
        <v>4.0974329999999997</v>
      </c>
      <c r="E50" s="16">
        <v>4.1640100000000002</v>
      </c>
      <c r="F50" s="16">
        <v>4.5010630000000003</v>
      </c>
      <c r="G50" s="16">
        <v>4.7557600000000004</v>
      </c>
      <c r="H50" s="16">
        <v>4.7182700000000004</v>
      </c>
      <c r="I50" s="16">
        <v>4.7505569999999997</v>
      </c>
      <c r="J50" s="16">
        <v>4.882301</v>
      </c>
      <c r="K50" s="16">
        <v>4.9745549999999996</v>
      </c>
      <c r="L50" s="16">
        <v>5.102544</v>
      </c>
      <c r="M50" s="16">
        <v>5.1390450000000003</v>
      </c>
      <c r="N50" s="16">
        <v>5.1853559999999996</v>
      </c>
      <c r="O50" s="16">
        <v>5.1890070000000001</v>
      </c>
      <c r="P50" s="16">
        <v>5.253317</v>
      </c>
      <c r="Q50" s="16">
        <v>5.2505920000000001</v>
      </c>
      <c r="R50" s="16">
        <v>5.2519099999999996</v>
      </c>
      <c r="S50" s="16">
        <v>5.2631709999999998</v>
      </c>
      <c r="T50" s="16">
        <v>5.2601469999999999</v>
      </c>
      <c r="U50" s="16">
        <v>5.2673249999999996</v>
      </c>
      <c r="V50" s="16">
        <v>5.2625919999999997</v>
      </c>
      <c r="W50" s="16">
        <v>5.3590289999999996</v>
      </c>
      <c r="X50" s="16">
        <v>5.3749260000000003</v>
      </c>
      <c r="Y50" s="16">
        <v>5.43818</v>
      </c>
      <c r="Z50" s="16">
        <v>5.4827649999999997</v>
      </c>
      <c r="AA50" s="16">
        <v>5.5086729999999999</v>
      </c>
      <c r="AB50" s="16">
        <v>5.5446669999999996</v>
      </c>
      <c r="AC50" s="16">
        <v>5.6085700000000003</v>
      </c>
      <c r="AD50" s="16">
        <v>5.6477789999999999</v>
      </c>
      <c r="AE50" s="16">
        <v>5.6987310000000004</v>
      </c>
      <c r="AF50" s="16">
        <v>5.7506589999999997</v>
      </c>
      <c r="AG50" s="16">
        <v>5.8020420000000001</v>
      </c>
      <c r="AH50" s="16">
        <v>5.8540960000000002</v>
      </c>
      <c r="AI50" s="16">
        <v>5.9388500000000004</v>
      </c>
      <c r="AJ50" s="16">
        <v>6.0082959999999996</v>
      </c>
      <c r="AK50" s="16">
        <v>6.0944929999999999</v>
      </c>
      <c r="AL50" s="13">
        <v>1.2104E-2</v>
      </c>
    </row>
    <row r="51" spans="1:38" ht="15" customHeight="1" x14ac:dyDescent="0.25">
      <c r="A51" s="7" t="s">
        <v>1143</v>
      </c>
      <c r="B51" s="11" t="s">
        <v>1144</v>
      </c>
      <c r="C51" s="16">
        <v>14.807285</v>
      </c>
      <c r="D51" s="16">
        <v>14.987109</v>
      </c>
      <c r="E51" s="16">
        <v>14.67421</v>
      </c>
      <c r="F51" s="16">
        <v>14.619160000000001</v>
      </c>
      <c r="G51" s="16">
        <v>14.644644</v>
      </c>
      <c r="H51" s="16">
        <v>13.994114</v>
      </c>
      <c r="I51" s="16">
        <v>13.805202</v>
      </c>
      <c r="J51" s="16">
        <v>13.763538</v>
      </c>
      <c r="K51" s="16">
        <v>14.411657999999999</v>
      </c>
      <c r="L51" s="16">
        <v>14.320245</v>
      </c>
      <c r="M51" s="16">
        <v>14.116367</v>
      </c>
      <c r="N51" s="16">
        <v>13.963523</v>
      </c>
      <c r="O51" s="16">
        <v>13.788163000000001</v>
      </c>
      <c r="P51" s="16">
        <v>13.79766</v>
      </c>
      <c r="Q51" s="16">
        <v>13.653494999999999</v>
      </c>
      <c r="R51" s="16">
        <v>13.534865999999999</v>
      </c>
      <c r="S51" s="16">
        <v>13.436968999999999</v>
      </c>
      <c r="T51" s="16">
        <v>13.347424999999999</v>
      </c>
      <c r="U51" s="16">
        <v>13.274965999999999</v>
      </c>
      <c r="V51" s="16">
        <v>13.201078000000001</v>
      </c>
      <c r="W51" s="16">
        <v>13.224049000000001</v>
      </c>
      <c r="X51" s="16">
        <v>13.194944</v>
      </c>
      <c r="Y51" s="16">
        <v>13.197474</v>
      </c>
      <c r="Z51" s="16">
        <v>13.199788</v>
      </c>
      <c r="AA51" s="16">
        <v>13.183655</v>
      </c>
      <c r="AB51" s="16">
        <v>13.189336000000001</v>
      </c>
      <c r="AC51" s="16">
        <v>13.227422000000001</v>
      </c>
      <c r="AD51" s="16">
        <v>13.233183</v>
      </c>
      <c r="AE51" s="16">
        <v>13.256303000000001</v>
      </c>
      <c r="AF51" s="16">
        <v>13.292978</v>
      </c>
      <c r="AG51" s="16">
        <v>13.330655</v>
      </c>
      <c r="AH51" s="16">
        <v>13.371527</v>
      </c>
      <c r="AI51" s="16">
        <v>13.446612</v>
      </c>
      <c r="AJ51" s="16">
        <v>13.506549</v>
      </c>
      <c r="AK51" s="16">
        <v>13.590764</v>
      </c>
      <c r="AL51" s="13">
        <v>-2.9589999999999998E-3</v>
      </c>
    </row>
    <row r="52" spans="1:38" ht="15" customHeight="1" x14ac:dyDescent="0.25">
      <c r="A52" s="7" t="s">
        <v>1141</v>
      </c>
      <c r="B52" s="11" t="s">
        <v>1142</v>
      </c>
      <c r="C52" s="16">
        <v>3.0331730000000001</v>
      </c>
      <c r="D52" s="16">
        <v>3.583952</v>
      </c>
      <c r="E52" s="16">
        <v>3.6937989999999998</v>
      </c>
      <c r="F52" s="16">
        <v>4.054646</v>
      </c>
      <c r="G52" s="16">
        <v>4.2985610000000003</v>
      </c>
      <c r="H52" s="16">
        <v>4.2361449999999996</v>
      </c>
      <c r="I52" s="16">
        <v>4.2766760000000001</v>
      </c>
      <c r="J52" s="16">
        <v>4.3976439999999997</v>
      </c>
      <c r="K52" s="16">
        <v>4.5025930000000001</v>
      </c>
      <c r="L52" s="16">
        <v>4.629785</v>
      </c>
      <c r="M52" s="16">
        <v>4.6663119999999996</v>
      </c>
      <c r="N52" s="16">
        <v>4.7123790000000003</v>
      </c>
      <c r="O52" s="16">
        <v>4.7187349999999997</v>
      </c>
      <c r="P52" s="16">
        <v>4.7830570000000003</v>
      </c>
      <c r="Q52" s="16">
        <v>4.7796240000000001</v>
      </c>
      <c r="R52" s="16">
        <v>4.7721999999999998</v>
      </c>
      <c r="S52" s="16">
        <v>4.78775</v>
      </c>
      <c r="T52" s="16">
        <v>4.7727040000000001</v>
      </c>
      <c r="U52" s="16">
        <v>4.7803089999999999</v>
      </c>
      <c r="V52" s="16">
        <v>4.7717489999999998</v>
      </c>
      <c r="W52" s="16">
        <v>4.8809269999999998</v>
      </c>
      <c r="X52" s="16">
        <v>4.8832019999999998</v>
      </c>
      <c r="Y52" s="16">
        <v>4.9507750000000001</v>
      </c>
      <c r="Z52" s="16">
        <v>5.0003739999999999</v>
      </c>
      <c r="AA52" s="16">
        <v>5.0288539999999999</v>
      </c>
      <c r="AB52" s="16">
        <v>5.0585420000000001</v>
      </c>
      <c r="AC52" s="16">
        <v>5.1167959999999999</v>
      </c>
      <c r="AD52" s="16">
        <v>5.1581760000000001</v>
      </c>
      <c r="AE52" s="16">
        <v>5.2137270000000004</v>
      </c>
      <c r="AF52" s="16">
        <v>5.2504759999999999</v>
      </c>
      <c r="AG52" s="16">
        <v>5.2969249999999999</v>
      </c>
      <c r="AH52" s="16">
        <v>5.3486310000000001</v>
      </c>
      <c r="AI52" s="16">
        <v>5.4427149999999997</v>
      </c>
      <c r="AJ52" s="16">
        <v>5.5061720000000003</v>
      </c>
      <c r="AK52" s="16">
        <v>5.6015759999999997</v>
      </c>
      <c r="AL52" s="13">
        <v>1.3625E-2</v>
      </c>
    </row>
    <row r="53" spans="1:38" ht="15" customHeight="1" x14ac:dyDescent="0.25">
      <c r="A53" s="7" t="s">
        <v>1145</v>
      </c>
      <c r="B53" s="10" t="s">
        <v>1146</v>
      </c>
      <c r="C53" s="17">
        <v>5.0429199999999996</v>
      </c>
      <c r="D53" s="17">
        <v>5.7322490000000004</v>
      </c>
      <c r="E53" s="17">
        <v>5.7372480000000001</v>
      </c>
      <c r="F53" s="17">
        <v>6.0165519999999999</v>
      </c>
      <c r="G53" s="17">
        <v>6.297193</v>
      </c>
      <c r="H53" s="17">
        <v>6.3086820000000001</v>
      </c>
      <c r="I53" s="17">
        <v>6.3614800000000002</v>
      </c>
      <c r="J53" s="17">
        <v>6.5208050000000002</v>
      </c>
      <c r="K53" s="17">
        <v>6.7012080000000003</v>
      </c>
      <c r="L53" s="17">
        <v>6.828087</v>
      </c>
      <c r="M53" s="17">
        <v>6.8644579999999999</v>
      </c>
      <c r="N53" s="17">
        <v>6.9090730000000002</v>
      </c>
      <c r="O53" s="17">
        <v>6.8966570000000003</v>
      </c>
      <c r="P53" s="17">
        <v>6.9800709999999997</v>
      </c>
      <c r="Q53" s="17">
        <v>6.975581</v>
      </c>
      <c r="R53" s="17">
        <v>6.9788410000000001</v>
      </c>
      <c r="S53" s="17">
        <v>6.9997379999999998</v>
      </c>
      <c r="T53" s="17">
        <v>7.0023600000000004</v>
      </c>
      <c r="U53" s="17">
        <v>7.008089</v>
      </c>
      <c r="V53" s="17">
        <v>7.0104309999999996</v>
      </c>
      <c r="W53" s="17">
        <v>7.1067819999999999</v>
      </c>
      <c r="X53" s="17">
        <v>7.1191209999999998</v>
      </c>
      <c r="Y53" s="17">
        <v>7.1793509999999996</v>
      </c>
      <c r="Z53" s="17">
        <v>7.2205110000000001</v>
      </c>
      <c r="AA53" s="17">
        <v>7.2415349999999998</v>
      </c>
      <c r="AB53" s="17">
        <v>7.2770190000000001</v>
      </c>
      <c r="AC53" s="17">
        <v>7.3402950000000002</v>
      </c>
      <c r="AD53" s="17">
        <v>7.3730079999999996</v>
      </c>
      <c r="AE53" s="17">
        <v>7.4308800000000002</v>
      </c>
      <c r="AF53" s="17">
        <v>7.488302</v>
      </c>
      <c r="AG53" s="17">
        <v>7.5413249999999996</v>
      </c>
      <c r="AH53" s="17">
        <v>7.5957080000000001</v>
      </c>
      <c r="AI53" s="17">
        <v>7.6749179999999999</v>
      </c>
      <c r="AJ53" s="17">
        <v>7.7506700000000004</v>
      </c>
      <c r="AK53" s="17">
        <v>7.8309980000000001</v>
      </c>
      <c r="AL53" s="15">
        <v>9.4990000000000005E-3</v>
      </c>
    </row>
    <row r="54" spans="1:38" ht="15" customHeight="1" x14ac:dyDescent="0.25">
      <c r="B54" s="10" t="s">
        <v>1133</v>
      </c>
    </row>
    <row r="55" spans="1:38" ht="15" customHeight="1" x14ac:dyDescent="0.25">
      <c r="A55" s="7" t="s">
        <v>1147</v>
      </c>
      <c r="B55" s="10" t="s">
        <v>47</v>
      </c>
      <c r="C55" s="17">
        <v>2.5284939999999998</v>
      </c>
      <c r="D55" s="17">
        <v>3.0454129999999999</v>
      </c>
      <c r="E55" s="17">
        <v>3.1297169999999999</v>
      </c>
      <c r="F55" s="17">
        <v>3.5519599999999998</v>
      </c>
      <c r="G55" s="17">
        <v>3.962024</v>
      </c>
      <c r="H55" s="17">
        <v>4.0217409999999996</v>
      </c>
      <c r="I55" s="17">
        <v>4.16134</v>
      </c>
      <c r="J55" s="17">
        <v>4.4204340000000002</v>
      </c>
      <c r="K55" s="17">
        <v>4.6621370000000004</v>
      </c>
      <c r="L55" s="17">
        <v>4.9324529999999998</v>
      </c>
      <c r="M55" s="17">
        <v>5.0984970000000001</v>
      </c>
      <c r="N55" s="17">
        <v>5.280907</v>
      </c>
      <c r="O55" s="17">
        <v>5.4191149999999997</v>
      </c>
      <c r="P55" s="17">
        <v>5.6249159999999998</v>
      </c>
      <c r="Q55" s="17">
        <v>5.7513860000000001</v>
      </c>
      <c r="R55" s="17">
        <v>5.8819090000000003</v>
      </c>
      <c r="S55" s="17">
        <v>6.0242050000000003</v>
      </c>
      <c r="T55" s="17">
        <v>6.149578</v>
      </c>
      <c r="U55" s="17">
        <v>6.2870660000000003</v>
      </c>
      <c r="V55" s="17">
        <v>6.4111089999999997</v>
      </c>
      <c r="W55" s="17">
        <v>6.7010500000000004</v>
      </c>
      <c r="X55" s="17">
        <v>6.8748659999999999</v>
      </c>
      <c r="Y55" s="17">
        <v>7.1380759999999999</v>
      </c>
      <c r="Z55" s="17">
        <v>7.3787570000000002</v>
      </c>
      <c r="AA55" s="17">
        <v>7.5898409999999998</v>
      </c>
      <c r="AB55" s="17">
        <v>7.8155089999999996</v>
      </c>
      <c r="AC55" s="17">
        <v>8.0953409999999995</v>
      </c>
      <c r="AD55" s="17">
        <v>8.3550389999999997</v>
      </c>
      <c r="AE55" s="17">
        <v>8.6511549999999993</v>
      </c>
      <c r="AF55" s="17">
        <v>8.9414630000000006</v>
      </c>
      <c r="AG55" s="17">
        <v>9.2436779999999992</v>
      </c>
      <c r="AH55" s="17">
        <v>9.5609160000000006</v>
      </c>
      <c r="AI55" s="17">
        <v>9.9653949999999991</v>
      </c>
      <c r="AJ55" s="17">
        <v>10.344993000000001</v>
      </c>
      <c r="AK55" s="17">
        <v>10.777339</v>
      </c>
      <c r="AL55" s="15">
        <v>3.9039999999999998E-2</v>
      </c>
    </row>
    <row r="56" spans="1:38" ht="15" customHeight="1" x14ac:dyDescent="0.25"/>
    <row r="57" spans="1:38" ht="15" customHeight="1" x14ac:dyDescent="0.25">
      <c r="B57" s="10" t="s">
        <v>1135</v>
      </c>
    </row>
    <row r="58" spans="1:38" ht="15" customHeight="1" x14ac:dyDescent="0.25">
      <c r="B58" s="10" t="s">
        <v>1148</v>
      </c>
    </row>
    <row r="59" spans="1:38" ht="15" customHeight="1" x14ac:dyDescent="0.25">
      <c r="A59" s="7" t="s">
        <v>1149</v>
      </c>
      <c r="B59" s="11" t="s">
        <v>1137</v>
      </c>
      <c r="C59" s="16">
        <v>10.118195999999999</v>
      </c>
      <c r="D59" s="16">
        <v>11.171783</v>
      </c>
      <c r="E59" s="16">
        <v>11.014764</v>
      </c>
      <c r="F59" s="16">
        <v>11.704395999999999</v>
      </c>
      <c r="G59" s="16">
        <v>12.316328</v>
      </c>
      <c r="H59" s="16">
        <v>12.744621</v>
      </c>
      <c r="I59" s="16">
        <v>13.173997999999999</v>
      </c>
      <c r="J59" s="16">
        <v>13.786797999999999</v>
      </c>
      <c r="K59" s="16">
        <v>14.538444999999999</v>
      </c>
      <c r="L59" s="16">
        <v>15.079428</v>
      </c>
      <c r="M59" s="16">
        <v>15.472113999999999</v>
      </c>
      <c r="N59" s="16">
        <v>15.922305</v>
      </c>
      <c r="O59" s="16">
        <v>16.269289000000001</v>
      </c>
      <c r="P59" s="16">
        <v>16.832977</v>
      </c>
      <c r="Q59" s="16">
        <v>17.193987</v>
      </c>
      <c r="R59" s="16">
        <v>17.620363000000001</v>
      </c>
      <c r="S59" s="16">
        <v>18.066725000000002</v>
      </c>
      <c r="T59" s="16">
        <v>18.528296999999998</v>
      </c>
      <c r="U59" s="16">
        <v>19.003430999999999</v>
      </c>
      <c r="V59" s="16">
        <v>19.487594999999999</v>
      </c>
      <c r="W59" s="16">
        <v>20.108561000000002</v>
      </c>
      <c r="X59" s="16">
        <v>20.670862</v>
      </c>
      <c r="Y59" s="16">
        <v>21.258291</v>
      </c>
      <c r="Z59" s="16">
        <v>21.829253999999999</v>
      </c>
      <c r="AA59" s="16">
        <v>22.40016</v>
      </c>
      <c r="AB59" s="16">
        <v>23.039815999999998</v>
      </c>
      <c r="AC59" s="16">
        <v>23.766242999999999</v>
      </c>
      <c r="AD59" s="16">
        <v>24.389237999999999</v>
      </c>
      <c r="AE59" s="16">
        <v>25.070232000000001</v>
      </c>
      <c r="AF59" s="16">
        <v>25.853991000000001</v>
      </c>
      <c r="AG59" s="16">
        <v>26.623657000000001</v>
      </c>
      <c r="AH59" s="16">
        <v>27.415711999999999</v>
      </c>
      <c r="AI59" s="16">
        <v>28.239156999999999</v>
      </c>
      <c r="AJ59" s="16">
        <v>29.144877999999999</v>
      </c>
      <c r="AK59" s="16">
        <v>30.060938</v>
      </c>
      <c r="AL59" s="13">
        <v>3.0449E-2</v>
      </c>
    </row>
    <row r="60" spans="1:38" ht="15" customHeight="1" x14ac:dyDescent="0.25">
      <c r="A60" s="7" t="s">
        <v>1150</v>
      </c>
      <c r="B60" s="11" t="s">
        <v>1139</v>
      </c>
      <c r="C60" s="16">
        <v>7.3738289999999997</v>
      </c>
      <c r="D60" s="16">
        <v>8.1074970000000004</v>
      </c>
      <c r="E60" s="16">
        <v>8.1373329999999999</v>
      </c>
      <c r="F60" s="16">
        <v>8.7187739999999998</v>
      </c>
      <c r="G60" s="16">
        <v>9.3261679999999991</v>
      </c>
      <c r="H60" s="16">
        <v>9.7696629999999995</v>
      </c>
      <c r="I60" s="16">
        <v>10.226114000000001</v>
      </c>
      <c r="J60" s="16">
        <v>10.863640999999999</v>
      </c>
      <c r="K60" s="16">
        <v>11.454152000000001</v>
      </c>
      <c r="L60" s="16">
        <v>11.878614000000001</v>
      </c>
      <c r="M60" s="16">
        <v>12.162132</v>
      </c>
      <c r="N60" s="16">
        <v>12.505677</v>
      </c>
      <c r="O60" s="16">
        <v>12.748668</v>
      </c>
      <c r="P60" s="16">
        <v>13.196958</v>
      </c>
      <c r="Q60" s="16">
        <v>13.447490999999999</v>
      </c>
      <c r="R60" s="16">
        <v>13.760985</v>
      </c>
      <c r="S60" s="16">
        <v>14.090113000000001</v>
      </c>
      <c r="T60" s="16">
        <v>14.428706</v>
      </c>
      <c r="U60" s="16">
        <v>14.775423</v>
      </c>
      <c r="V60" s="16">
        <v>15.127584000000001</v>
      </c>
      <c r="W60" s="16">
        <v>15.609469000000001</v>
      </c>
      <c r="X60" s="16">
        <v>16.02779</v>
      </c>
      <c r="Y60" s="16">
        <v>16.470665</v>
      </c>
      <c r="Z60" s="16">
        <v>16.896259000000001</v>
      </c>
      <c r="AA60" s="16">
        <v>17.320816000000001</v>
      </c>
      <c r="AB60" s="16">
        <v>17.81052</v>
      </c>
      <c r="AC60" s="16">
        <v>18.384077000000001</v>
      </c>
      <c r="AD60" s="16">
        <v>18.850636999999999</v>
      </c>
      <c r="AE60" s="16">
        <v>19.373366999999998</v>
      </c>
      <c r="AF60" s="16">
        <v>19.990750999999999</v>
      </c>
      <c r="AG60" s="16">
        <v>20.590799000000001</v>
      </c>
      <c r="AH60" s="16">
        <v>21.208248000000001</v>
      </c>
      <c r="AI60" s="16">
        <v>21.850483000000001</v>
      </c>
      <c r="AJ60" s="16">
        <v>22.569233000000001</v>
      </c>
      <c r="AK60" s="16">
        <v>23.291029000000002</v>
      </c>
      <c r="AL60" s="13">
        <v>3.2495000000000003E-2</v>
      </c>
    </row>
    <row r="61" spans="1:38" ht="15" customHeight="1" x14ac:dyDescent="0.25">
      <c r="A61" s="7" t="s">
        <v>1151</v>
      </c>
      <c r="B61" s="11" t="s">
        <v>1869</v>
      </c>
      <c r="C61" s="16">
        <v>3.5362040000000001</v>
      </c>
      <c r="D61" s="16">
        <v>4.0974329999999997</v>
      </c>
      <c r="E61" s="16">
        <v>4.2567009999999996</v>
      </c>
      <c r="F61" s="16">
        <v>4.7086980000000001</v>
      </c>
      <c r="G61" s="16">
        <v>5.1052530000000003</v>
      </c>
      <c r="H61" s="16">
        <v>5.1902160000000004</v>
      </c>
      <c r="I61" s="16">
        <v>5.3517749999999999</v>
      </c>
      <c r="J61" s="16">
        <v>5.6359969999999997</v>
      </c>
      <c r="K61" s="16">
        <v>5.8818929999999998</v>
      </c>
      <c r="L61" s="16">
        <v>6.1772770000000001</v>
      </c>
      <c r="M61" s="16">
        <v>6.3641059999999996</v>
      </c>
      <c r="N61" s="16">
        <v>6.566014</v>
      </c>
      <c r="O61" s="16">
        <v>6.7123970000000002</v>
      </c>
      <c r="P61" s="16">
        <v>6.9405780000000004</v>
      </c>
      <c r="Q61" s="16">
        <v>7.085915</v>
      </c>
      <c r="R61" s="16">
        <v>7.2424580000000001</v>
      </c>
      <c r="S61" s="16">
        <v>7.417484</v>
      </c>
      <c r="T61" s="16">
        <v>7.5779769999999997</v>
      </c>
      <c r="U61" s="16">
        <v>7.7584619999999997</v>
      </c>
      <c r="V61" s="16">
        <v>7.926984</v>
      </c>
      <c r="W61" s="16">
        <v>8.2570969999999999</v>
      </c>
      <c r="X61" s="16">
        <v>8.4714019999999994</v>
      </c>
      <c r="Y61" s="16">
        <v>8.7667529999999996</v>
      </c>
      <c r="Z61" s="16">
        <v>9.0416290000000004</v>
      </c>
      <c r="AA61" s="16">
        <v>9.2946580000000001</v>
      </c>
      <c r="AB61" s="16">
        <v>9.5743650000000002</v>
      </c>
      <c r="AC61" s="16">
        <v>9.9134220000000006</v>
      </c>
      <c r="AD61" s="16">
        <v>10.222052</v>
      </c>
      <c r="AE61" s="16">
        <v>10.564087000000001</v>
      </c>
      <c r="AF61" s="16">
        <v>10.921581</v>
      </c>
      <c r="AG61" s="16">
        <v>11.289496</v>
      </c>
      <c r="AH61" s="16">
        <v>11.673401</v>
      </c>
      <c r="AI61" s="16">
        <v>12.140743000000001</v>
      </c>
      <c r="AJ61" s="16">
        <v>12.592207999999999</v>
      </c>
      <c r="AK61" s="16">
        <v>13.098245</v>
      </c>
      <c r="AL61" s="13">
        <v>3.5843E-2</v>
      </c>
    </row>
    <row r="62" spans="1:38" ht="15" customHeight="1" x14ac:dyDescent="0.25">
      <c r="A62" s="7" t="s">
        <v>1153</v>
      </c>
      <c r="B62" s="11" t="s">
        <v>1144</v>
      </c>
      <c r="C62" s="16">
        <v>14.551332</v>
      </c>
      <c r="D62" s="16">
        <v>14.987109</v>
      </c>
      <c r="E62" s="16">
        <v>15.000856000000001</v>
      </c>
      <c r="F62" s="16">
        <v>15.293545999999999</v>
      </c>
      <c r="G62" s="16">
        <v>15.720858</v>
      </c>
      <c r="H62" s="16">
        <v>15.393876000000001</v>
      </c>
      <c r="I62" s="16">
        <v>15.552350000000001</v>
      </c>
      <c r="J62" s="16">
        <v>15.888259</v>
      </c>
      <c r="K62" s="16">
        <v>17.040285000000001</v>
      </c>
      <c r="L62" s="16">
        <v>17.336472000000001</v>
      </c>
      <c r="M62" s="16">
        <v>17.481470000000002</v>
      </c>
      <c r="N62" s="16">
        <v>17.681463000000001</v>
      </c>
      <c r="O62" s="16">
        <v>17.836093999999999</v>
      </c>
      <c r="P62" s="16">
        <v>18.229195000000001</v>
      </c>
      <c r="Q62" s="16">
        <v>18.426017999999999</v>
      </c>
      <c r="R62" s="16">
        <v>18.664771999999999</v>
      </c>
      <c r="S62" s="16">
        <v>18.936969999999999</v>
      </c>
      <c r="T62" s="16">
        <v>19.228832000000001</v>
      </c>
      <c r="U62" s="16">
        <v>19.553249000000001</v>
      </c>
      <c r="V62" s="16">
        <v>19.884637999999999</v>
      </c>
      <c r="W62" s="16">
        <v>20.37538</v>
      </c>
      <c r="X62" s="16">
        <v>20.796505</v>
      </c>
      <c r="Y62" s="16">
        <v>21.275314000000002</v>
      </c>
      <c r="Z62" s="16">
        <v>21.767771</v>
      </c>
      <c r="AA62" s="16">
        <v>22.244479999999999</v>
      </c>
      <c r="AB62" s="16">
        <v>22.774947999999998</v>
      </c>
      <c r="AC62" s="16">
        <v>23.380112</v>
      </c>
      <c r="AD62" s="16">
        <v>23.951059000000001</v>
      </c>
      <c r="AE62" s="16">
        <v>24.574017999999999</v>
      </c>
      <c r="AF62" s="16">
        <v>25.245863</v>
      </c>
      <c r="AG62" s="16">
        <v>25.93852</v>
      </c>
      <c r="AH62" s="16">
        <v>26.663582000000002</v>
      </c>
      <c r="AI62" s="16">
        <v>27.488800000000001</v>
      </c>
      <c r="AJ62" s="16">
        <v>28.30707</v>
      </c>
      <c r="AK62" s="16">
        <v>29.209178999999999</v>
      </c>
      <c r="AL62" s="13">
        <v>2.0427000000000001E-2</v>
      </c>
    </row>
    <row r="63" spans="1:38" ht="15" customHeight="1" x14ac:dyDescent="0.25">
      <c r="A63" s="7" t="s">
        <v>1152</v>
      </c>
      <c r="B63" s="11" t="s">
        <v>1142</v>
      </c>
      <c r="C63" s="16">
        <v>2.9807429999999999</v>
      </c>
      <c r="D63" s="16">
        <v>3.583952</v>
      </c>
      <c r="E63" s="16">
        <v>3.7760229999999999</v>
      </c>
      <c r="F63" s="16">
        <v>4.2416879999999999</v>
      </c>
      <c r="G63" s="16">
        <v>4.6144559999999997</v>
      </c>
      <c r="H63" s="16">
        <v>4.6598649999999999</v>
      </c>
      <c r="I63" s="16">
        <v>4.8179210000000001</v>
      </c>
      <c r="J63" s="16">
        <v>5.0765209999999996</v>
      </c>
      <c r="K63" s="16">
        <v>5.3238469999999998</v>
      </c>
      <c r="L63" s="16">
        <v>5.6049410000000002</v>
      </c>
      <c r="M63" s="16">
        <v>5.7786819999999999</v>
      </c>
      <c r="N63" s="16">
        <v>5.9671019999999997</v>
      </c>
      <c r="O63" s="16">
        <v>6.104063</v>
      </c>
      <c r="P63" s="16">
        <v>6.31928</v>
      </c>
      <c r="Q63" s="16">
        <v>6.4503219999999999</v>
      </c>
      <c r="R63" s="16">
        <v>6.5809309999999996</v>
      </c>
      <c r="S63" s="16">
        <v>6.7474639999999999</v>
      </c>
      <c r="T63" s="16">
        <v>6.8757479999999997</v>
      </c>
      <c r="U63" s="16">
        <v>7.0411149999999996</v>
      </c>
      <c r="V63" s="16">
        <v>7.1876329999999999</v>
      </c>
      <c r="W63" s="16">
        <v>7.5204459999999997</v>
      </c>
      <c r="X63" s="16">
        <v>7.6963970000000002</v>
      </c>
      <c r="Y63" s="16">
        <v>7.9810189999999999</v>
      </c>
      <c r="Z63" s="16">
        <v>8.2461179999999992</v>
      </c>
      <c r="AA63" s="16">
        <v>8.4850709999999996</v>
      </c>
      <c r="AB63" s="16">
        <v>8.7349379999999996</v>
      </c>
      <c r="AC63" s="16">
        <v>9.0441880000000001</v>
      </c>
      <c r="AD63" s="16">
        <v>9.3359089999999991</v>
      </c>
      <c r="AE63" s="16">
        <v>9.6650050000000007</v>
      </c>
      <c r="AF63" s="16">
        <v>9.9716419999999992</v>
      </c>
      <c r="AG63" s="16">
        <v>10.306649</v>
      </c>
      <c r="AH63" s="16">
        <v>10.665474</v>
      </c>
      <c r="AI63" s="16">
        <v>11.126498</v>
      </c>
      <c r="AJ63" s="16">
        <v>11.539853000000001</v>
      </c>
      <c r="AK63" s="16">
        <v>12.038869</v>
      </c>
      <c r="AL63" s="13">
        <v>3.7400000000000003E-2</v>
      </c>
    </row>
    <row r="64" spans="1:38" ht="15" customHeight="1" x14ac:dyDescent="0.25">
      <c r="A64" s="7" t="s">
        <v>1154</v>
      </c>
      <c r="B64" s="10" t="s">
        <v>1146</v>
      </c>
      <c r="C64" s="17">
        <v>4.9557500000000001</v>
      </c>
      <c r="D64" s="17">
        <v>5.7322490000000004</v>
      </c>
      <c r="E64" s="17">
        <v>5.8649589999999998</v>
      </c>
      <c r="F64" s="17">
        <v>6.2940969999999998</v>
      </c>
      <c r="G64" s="17">
        <v>6.7599640000000001</v>
      </c>
      <c r="H64" s="17">
        <v>6.9397080000000004</v>
      </c>
      <c r="I64" s="17">
        <v>7.1665720000000004</v>
      </c>
      <c r="J64" s="17">
        <v>7.5274419999999997</v>
      </c>
      <c r="K64" s="17">
        <v>7.9234809999999998</v>
      </c>
      <c r="L64" s="17">
        <v>8.2662650000000006</v>
      </c>
      <c r="M64" s="17">
        <v>8.5008289999999995</v>
      </c>
      <c r="N64" s="17">
        <v>8.7486890000000006</v>
      </c>
      <c r="O64" s="17">
        <v>8.9213780000000007</v>
      </c>
      <c r="P64" s="17">
        <v>9.2219309999999997</v>
      </c>
      <c r="Q64" s="17">
        <v>9.4138660000000005</v>
      </c>
      <c r="R64" s="17">
        <v>9.6239190000000008</v>
      </c>
      <c r="S64" s="17">
        <v>9.8648609999999994</v>
      </c>
      <c r="T64" s="17">
        <v>10.087878</v>
      </c>
      <c r="U64" s="17">
        <v>10.322505</v>
      </c>
      <c r="V64" s="17">
        <v>10.559734000000001</v>
      </c>
      <c r="W64" s="17">
        <v>10.950005000000001</v>
      </c>
      <c r="X64" s="17">
        <v>11.220421999999999</v>
      </c>
      <c r="Y64" s="17">
        <v>11.573649</v>
      </c>
      <c r="Z64" s="17">
        <v>11.907346</v>
      </c>
      <c r="AA64" s="17">
        <v>12.218476000000001</v>
      </c>
      <c r="AB64" s="17">
        <v>12.565737</v>
      </c>
      <c r="AC64" s="17">
        <v>12.974329000000001</v>
      </c>
      <c r="AD64" s="17">
        <v>13.344587000000001</v>
      </c>
      <c r="AE64" s="17">
        <v>13.775076</v>
      </c>
      <c r="AF64" s="17">
        <v>14.221693</v>
      </c>
      <c r="AG64" s="17">
        <v>14.673759</v>
      </c>
      <c r="AH64" s="17">
        <v>15.146274</v>
      </c>
      <c r="AI64" s="17">
        <v>15.689772</v>
      </c>
      <c r="AJ64" s="17">
        <v>16.243879</v>
      </c>
      <c r="AK64" s="17">
        <v>16.830328000000002</v>
      </c>
      <c r="AL64" s="15">
        <v>3.3176999999999998E-2</v>
      </c>
    </row>
    <row r="65" spans="2:38" ht="15" customHeight="1" thickBot="1" x14ac:dyDescent="0.3"/>
    <row r="66" spans="2:38" ht="15" customHeight="1" x14ac:dyDescent="0.25">
      <c r="B66" s="369" t="s">
        <v>1155</v>
      </c>
      <c r="C66" s="369"/>
      <c r="D66" s="369"/>
      <c r="E66" s="369"/>
      <c r="F66" s="369"/>
      <c r="G66" s="369"/>
      <c r="H66" s="369"/>
      <c r="I66" s="369"/>
      <c r="J66" s="369"/>
      <c r="K66" s="369"/>
      <c r="L66" s="369"/>
      <c r="M66" s="369"/>
      <c r="N66" s="369"/>
      <c r="O66" s="369"/>
      <c r="P66" s="369"/>
      <c r="Q66" s="369"/>
      <c r="R66" s="369"/>
      <c r="S66" s="369"/>
      <c r="T66" s="369"/>
      <c r="U66" s="369"/>
      <c r="V66" s="369"/>
      <c r="W66" s="369"/>
      <c r="X66" s="369"/>
      <c r="Y66" s="369"/>
      <c r="Z66" s="369"/>
      <c r="AA66" s="369"/>
      <c r="AB66" s="369"/>
      <c r="AC66" s="369"/>
      <c r="AD66" s="369"/>
      <c r="AE66" s="369"/>
      <c r="AF66" s="369"/>
      <c r="AG66" s="369"/>
      <c r="AH66" s="369"/>
      <c r="AI66" s="369"/>
      <c r="AJ66" s="369"/>
      <c r="AK66" s="369"/>
      <c r="AL66" s="369"/>
    </row>
    <row r="67" spans="2:38" ht="15" customHeight="1" x14ac:dyDescent="0.25">
      <c r="B67" s="18" t="s">
        <v>1156</v>
      </c>
    </row>
    <row r="68" spans="2:38" ht="15" customHeight="1" x14ac:dyDescent="0.25">
      <c r="B68" s="18" t="s">
        <v>1157</v>
      </c>
    </row>
    <row r="69" spans="2:38" ht="15" customHeight="1" x14ac:dyDescent="0.25">
      <c r="B69" s="18" t="s">
        <v>1158</v>
      </c>
    </row>
    <row r="70" spans="2:38" ht="15" customHeight="1" x14ac:dyDescent="0.25">
      <c r="B70" s="18" t="s">
        <v>1159</v>
      </c>
    </row>
    <row r="71" spans="2:38" ht="15" customHeight="1" x14ac:dyDescent="0.25">
      <c r="B71" s="18" t="s">
        <v>1870</v>
      </c>
    </row>
    <row r="72" spans="2:38" ht="15" customHeight="1" x14ac:dyDescent="0.25">
      <c r="B72" s="18" t="s">
        <v>1871</v>
      </c>
    </row>
    <row r="73" spans="2:38" ht="15" customHeight="1" x14ac:dyDescent="0.25">
      <c r="B73" s="18" t="s">
        <v>1872</v>
      </c>
    </row>
    <row r="74" spans="2:38" ht="15" customHeight="1" x14ac:dyDescent="0.25">
      <c r="B74" s="18" t="s">
        <v>1873</v>
      </c>
    </row>
    <row r="75" spans="2:38" ht="15" customHeight="1" x14ac:dyDescent="0.25">
      <c r="B75" s="18" t="s">
        <v>1874</v>
      </c>
    </row>
    <row r="76" spans="2:38" ht="15" customHeight="1" x14ac:dyDescent="0.25">
      <c r="B76" s="18" t="s">
        <v>1875</v>
      </c>
    </row>
    <row r="77" spans="2:38" ht="15" customHeight="1" x14ac:dyDescent="0.25">
      <c r="B77" s="18" t="s">
        <v>1161</v>
      </c>
    </row>
    <row r="78" spans="2:38" ht="15" customHeight="1" x14ac:dyDescent="0.25">
      <c r="B78" s="18" t="s">
        <v>1876</v>
      </c>
    </row>
    <row r="79" spans="2:38" ht="15" customHeight="1" x14ac:dyDescent="0.25">
      <c r="B79" s="18" t="s">
        <v>1877</v>
      </c>
    </row>
    <row r="80" spans="2:38" ht="15" customHeight="1" x14ac:dyDescent="0.25">
      <c r="B80" s="18" t="s">
        <v>1162</v>
      </c>
    </row>
    <row r="81" spans="2:2" ht="15" customHeight="1" x14ac:dyDescent="0.25">
      <c r="B81" s="18" t="s">
        <v>1160</v>
      </c>
    </row>
    <row r="82" spans="2:2" ht="15" customHeight="1" x14ac:dyDescent="0.25">
      <c r="B82" s="18" t="s">
        <v>1878</v>
      </c>
    </row>
    <row r="83" spans="2:2" ht="15" customHeight="1" x14ac:dyDescent="0.25">
      <c r="B83" s="18" t="s">
        <v>1879</v>
      </c>
    </row>
    <row r="84" spans="2:2" ht="15" customHeight="1" x14ac:dyDescent="0.25">
      <c r="B84" s="18" t="s">
        <v>193</v>
      </c>
    </row>
    <row r="85" spans="2:2" ht="15" customHeight="1" x14ac:dyDescent="0.25">
      <c r="B85" s="18" t="s">
        <v>1756</v>
      </c>
    </row>
    <row r="86" spans="2:2" ht="15" customHeight="1" x14ac:dyDescent="0.25">
      <c r="B86" s="18" t="s">
        <v>458</v>
      </c>
    </row>
    <row r="87" spans="2:2" ht="15" customHeight="1" x14ac:dyDescent="0.25">
      <c r="B87" s="18" t="s">
        <v>1880</v>
      </c>
    </row>
    <row r="88" spans="2:2" ht="15" customHeight="1" x14ac:dyDescent="0.25">
      <c r="B88" s="18" t="s">
        <v>1881</v>
      </c>
    </row>
    <row r="89" spans="2:2" ht="15" customHeight="1" x14ac:dyDescent="0.25">
      <c r="B89" s="18" t="s">
        <v>1882</v>
      </c>
    </row>
    <row r="90" spans="2:2" ht="15" customHeight="1" x14ac:dyDescent="0.25">
      <c r="B90" s="18" t="s">
        <v>1883</v>
      </c>
    </row>
    <row r="91" spans="2:2" ht="15" customHeight="1" x14ac:dyDescent="0.25">
      <c r="B91" s="18" t="s">
        <v>1884</v>
      </c>
    </row>
    <row r="92" spans="2:2" ht="15" customHeight="1" x14ac:dyDescent="0.25">
      <c r="B92" s="18" t="s">
        <v>1885</v>
      </c>
    </row>
    <row r="93" spans="2:2" ht="15" customHeight="1" x14ac:dyDescent="0.25">
      <c r="B93" s="18" t="s">
        <v>1886</v>
      </c>
    </row>
    <row r="94" spans="2:2" ht="15" customHeight="1" x14ac:dyDescent="0.25">
      <c r="B94" s="18" t="s">
        <v>1887</v>
      </c>
    </row>
  </sheetData>
  <mergeCells count="1">
    <mergeCell ref="B66:AL6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5" tint="0.79998168889431442"/>
  </sheetPr>
  <dimension ref="A1:AL107"/>
  <sheetViews>
    <sheetView topLeftCell="B1" workbookViewId="0">
      <selection activeCell="B50" sqref="A1:XFD1048576"/>
    </sheetView>
  </sheetViews>
  <sheetFormatPr defaultRowHeight="15" x14ac:dyDescent="0.25"/>
  <cols>
    <col min="1" max="1" width="20.85546875" hidden="1" customWidth="1"/>
    <col min="2" max="2" width="45.7109375"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1760</v>
      </c>
      <c r="B10" s="8" t="s">
        <v>1761</v>
      </c>
    </row>
    <row r="11" spans="1:38" ht="15" customHeight="1" x14ac:dyDescent="0.25">
      <c r="B11" s="4" t="s">
        <v>1762</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1763</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A15" s="7" t="s">
        <v>1764</v>
      </c>
      <c r="B15" s="10" t="s">
        <v>1765</v>
      </c>
      <c r="C15" s="140">
        <v>115.935242</v>
      </c>
      <c r="D15" s="140">
        <v>123.837143</v>
      </c>
      <c r="E15" s="140">
        <v>107.906464</v>
      </c>
      <c r="F15" s="140">
        <v>88.051422000000002</v>
      </c>
      <c r="G15" s="140">
        <v>93.775963000000004</v>
      </c>
      <c r="H15" s="140">
        <v>90.653259000000006</v>
      </c>
      <c r="I15" s="140">
        <v>90.282714999999996</v>
      </c>
      <c r="J15" s="140">
        <v>93.829543999999999</v>
      </c>
      <c r="K15" s="140">
        <v>98.599486999999996</v>
      </c>
      <c r="L15" s="140">
        <v>94.542846999999995</v>
      </c>
      <c r="M15" s="140">
        <v>90.849686000000005</v>
      </c>
      <c r="N15" s="140">
        <v>91.718047999999996</v>
      </c>
      <c r="O15" s="140">
        <v>94.611328</v>
      </c>
      <c r="P15" s="140">
        <v>96.293487999999996</v>
      </c>
      <c r="Q15" s="140">
        <v>96.218277</v>
      </c>
      <c r="R15" s="140">
        <v>96.350250000000003</v>
      </c>
      <c r="S15" s="140">
        <v>94.191978000000006</v>
      </c>
      <c r="T15" s="140">
        <v>97.333466000000001</v>
      </c>
      <c r="U15" s="140">
        <v>93.876862000000003</v>
      </c>
      <c r="V15" s="140">
        <v>97.009017999999998</v>
      </c>
      <c r="W15" s="140">
        <v>95.919753999999998</v>
      </c>
      <c r="X15" s="140">
        <v>99.402039000000002</v>
      </c>
      <c r="Y15" s="140">
        <v>96.665604000000002</v>
      </c>
      <c r="Z15" s="140">
        <v>96.856430000000003</v>
      </c>
      <c r="AA15" s="140">
        <v>94.739227</v>
      </c>
      <c r="AB15" s="140">
        <v>94.033783</v>
      </c>
      <c r="AC15" s="140">
        <v>91.628883000000002</v>
      </c>
      <c r="AD15" s="140">
        <v>91.290970000000002</v>
      </c>
      <c r="AE15" s="140">
        <v>91.656768999999997</v>
      </c>
      <c r="AF15" s="140">
        <v>90.722153000000006</v>
      </c>
      <c r="AG15" s="140">
        <v>88.522186000000005</v>
      </c>
      <c r="AH15" s="140">
        <v>87.364243000000002</v>
      </c>
      <c r="AI15" s="140">
        <v>87.816329999999994</v>
      </c>
      <c r="AJ15" s="140">
        <v>85.916504000000003</v>
      </c>
      <c r="AK15" s="140">
        <v>85.883437999999998</v>
      </c>
      <c r="AL15" s="15">
        <v>-1.1029000000000001E-2</v>
      </c>
    </row>
    <row r="16" spans="1:38" ht="15" customHeight="1" x14ac:dyDescent="0.25">
      <c r="A16" s="7" t="s">
        <v>1766</v>
      </c>
      <c r="B16" s="11" t="s">
        <v>1767</v>
      </c>
      <c r="C16" s="64">
        <v>11.858221</v>
      </c>
      <c r="D16" s="64">
        <v>11.961088</v>
      </c>
      <c r="E16" s="64">
        <v>11.794494</v>
      </c>
      <c r="F16" s="64">
        <v>11.074647000000001</v>
      </c>
      <c r="G16" s="64">
        <v>10.269702000000001</v>
      </c>
      <c r="H16" s="64">
        <v>10.547076000000001</v>
      </c>
      <c r="I16" s="64">
        <v>10.742725</v>
      </c>
      <c r="J16" s="64">
        <v>11.139645</v>
      </c>
      <c r="K16" s="64">
        <v>11.720382000000001</v>
      </c>
      <c r="L16" s="64">
        <v>12.096456</v>
      </c>
      <c r="M16" s="64">
        <v>12.580009</v>
      </c>
      <c r="N16" s="64">
        <v>13.110931000000001</v>
      </c>
      <c r="O16" s="64">
        <v>13.668694</v>
      </c>
      <c r="P16" s="64">
        <v>14.217048</v>
      </c>
      <c r="Q16" s="64">
        <v>14.850123999999999</v>
      </c>
      <c r="R16" s="64">
        <v>15.502087</v>
      </c>
      <c r="S16" s="64">
        <v>16.181673</v>
      </c>
      <c r="T16" s="64">
        <v>16.877893</v>
      </c>
      <c r="U16" s="64">
        <v>15.991825</v>
      </c>
      <c r="V16" s="64">
        <v>16.696451</v>
      </c>
      <c r="W16" s="64">
        <v>17.431349000000001</v>
      </c>
      <c r="X16" s="64">
        <v>18.200647</v>
      </c>
      <c r="Y16" s="64">
        <v>18.968717999999999</v>
      </c>
      <c r="Z16" s="64">
        <v>19.774691000000001</v>
      </c>
      <c r="AA16" s="64">
        <v>20.639386999999999</v>
      </c>
      <c r="AB16" s="64">
        <v>21.499392</v>
      </c>
      <c r="AC16" s="64">
        <v>21.527971000000001</v>
      </c>
      <c r="AD16" s="64">
        <v>21.510887</v>
      </c>
      <c r="AE16" s="64">
        <v>21.49297</v>
      </c>
      <c r="AF16" s="64">
        <v>21.502351999999998</v>
      </c>
      <c r="AG16" s="64">
        <v>21.487525999999999</v>
      </c>
      <c r="AH16" s="64">
        <v>21.490431000000001</v>
      </c>
      <c r="AI16" s="64">
        <v>21.519548</v>
      </c>
      <c r="AJ16" s="64">
        <v>21.515353999999999</v>
      </c>
      <c r="AK16" s="64">
        <v>21.499832000000001</v>
      </c>
      <c r="AL16" s="13">
        <v>1.7927999999999999E-2</v>
      </c>
    </row>
    <row r="17" spans="1:38" ht="15" customHeight="1" x14ac:dyDescent="0.25">
      <c r="A17" s="7" t="s">
        <v>1768</v>
      </c>
      <c r="B17" s="11" t="s">
        <v>1769</v>
      </c>
      <c r="C17" s="64">
        <v>23.547438</v>
      </c>
      <c r="D17" s="64">
        <v>22.881124</v>
      </c>
      <c r="E17" s="64">
        <v>20.473918999999999</v>
      </c>
      <c r="F17" s="64">
        <v>17.989023</v>
      </c>
      <c r="G17" s="64">
        <v>17.107382000000001</v>
      </c>
      <c r="H17" s="64">
        <v>16.26895</v>
      </c>
      <c r="I17" s="64">
        <v>15.47161</v>
      </c>
      <c r="J17" s="64">
        <v>20.706029999999998</v>
      </c>
      <c r="K17" s="64">
        <v>22.368067</v>
      </c>
      <c r="L17" s="64">
        <v>21.661009</v>
      </c>
      <c r="M17" s="64">
        <v>19.793789</v>
      </c>
      <c r="N17" s="64">
        <v>18.818480999999998</v>
      </c>
      <c r="O17" s="64">
        <v>18.326933</v>
      </c>
      <c r="P17" s="64">
        <v>19.083801000000001</v>
      </c>
      <c r="Q17" s="64">
        <v>18.414121999999999</v>
      </c>
      <c r="R17" s="64">
        <v>18.110724999999999</v>
      </c>
      <c r="S17" s="64">
        <v>17.267097</v>
      </c>
      <c r="T17" s="64">
        <v>17.645942999999999</v>
      </c>
      <c r="U17" s="64">
        <v>18.204398999999999</v>
      </c>
      <c r="V17" s="64">
        <v>18.045007999999999</v>
      </c>
      <c r="W17" s="64">
        <v>17.990773999999998</v>
      </c>
      <c r="X17" s="64">
        <v>17.903099000000001</v>
      </c>
      <c r="Y17" s="64">
        <v>17.156731000000001</v>
      </c>
      <c r="Z17" s="64">
        <v>16.401084999999998</v>
      </c>
      <c r="AA17" s="64">
        <v>16.134205000000001</v>
      </c>
      <c r="AB17" s="64">
        <v>16.792603</v>
      </c>
      <c r="AC17" s="64">
        <v>16.411529999999999</v>
      </c>
      <c r="AD17" s="64">
        <v>15.607201</v>
      </c>
      <c r="AE17" s="64">
        <v>15.027801</v>
      </c>
      <c r="AF17" s="64">
        <v>16.085974</v>
      </c>
      <c r="AG17" s="64">
        <v>16.409303999999999</v>
      </c>
      <c r="AH17" s="64">
        <v>15.715460999999999</v>
      </c>
      <c r="AI17" s="64">
        <v>15.265534000000001</v>
      </c>
      <c r="AJ17" s="64">
        <v>15.200307</v>
      </c>
      <c r="AK17" s="64">
        <v>15.247953000000001</v>
      </c>
      <c r="AL17" s="13">
        <v>-1.2224E-2</v>
      </c>
    </row>
    <row r="18" spans="1:38" ht="15" customHeight="1" x14ac:dyDescent="0.25">
      <c r="A18" s="7" t="s">
        <v>1770</v>
      </c>
      <c r="B18" s="11" t="s">
        <v>1771</v>
      </c>
      <c r="C18" s="64">
        <v>80.529587000000006</v>
      </c>
      <c r="D18" s="64">
        <v>88.994926000000007</v>
      </c>
      <c r="E18" s="64">
        <v>75.638046000000003</v>
      </c>
      <c r="F18" s="64">
        <v>58.987746999999999</v>
      </c>
      <c r="G18" s="64">
        <v>66.398880000000005</v>
      </c>
      <c r="H18" s="64">
        <v>63.837237999999999</v>
      </c>
      <c r="I18" s="64">
        <v>64.068375000000003</v>
      </c>
      <c r="J18" s="64">
        <v>61.983868000000001</v>
      </c>
      <c r="K18" s="64">
        <v>64.511039999999994</v>
      </c>
      <c r="L18" s="64">
        <v>60.785378000000001</v>
      </c>
      <c r="M18" s="64">
        <v>58.475883000000003</v>
      </c>
      <c r="N18" s="64">
        <v>59.788631000000002</v>
      </c>
      <c r="O18" s="64">
        <v>62.615704000000001</v>
      </c>
      <c r="P18" s="64">
        <v>62.992634000000002</v>
      </c>
      <c r="Q18" s="64">
        <v>62.954037</v>
      </c>
      <c r="R18" s="64">
        <v>62.737437999999997</v>
      </c>
      <c r="S18" s="64">
        <v>60.743209999999998</v>
      </c>
      <c r="T18" s="64">
        <v>62.809627999999996</v>
      </c>
      <c r="U18" s="64">
        <v>59.680636999999997</v>
      </c>
      <c r="V18" s="64">
        <v>62.267555000000002</v>
      </c>
      <c r="W18" s="64">
        <v>60.497627000000001</v>
      </c>
      <c r="X18" s="64">
        <v>63.298293999999999</v>
      </c>
      <c r="Y18" s="64">
        <v>60.540149999999997</v>
      </c>
      <c r="Z18" s="64">
        <v>60.680653</v>
      </c>
      <c r="AA18" s="64">
        <v>57.965637000000001</v>
      </c>
      <c r="AB18" s="64">
        <v>55.741787000000002</v>
      </c>
      <c r="AC18" s="64">
        <v>53.689383999999997</v>
      </c>
      <c r="AD18" s="64">
        <v>54.172882000000001</v>
      </c>
      <c r="AE18" s="64">
        <v>55.135998000000001</v>
      </c>
      <c r="AF18" s="64">
        <v>53.133831000000001</v>
      </c>
      <c r="AG18" s="64">
        <v>50.625362000000003</v>
      </c>
      <c r="AH18" s="64">
        <v>50.158355999999998</v>
      </c>
      <c r="AI18" s="64">
        <v>51.031246000000003</v>
      </c>
      <c r="AJ18" s="64">
        <v>49.200843999999996</v>
      </c>
      <c r="AK18" s="64">
        <v>49.135654000000002</v>
      </c>
      <c r="AL18" s="13">
        <v>-1.7839000000000001E-2</v>
      </c>
    </row>
    <row r="19" spans="1:38" ht="15" customHeight="1" x14ac:dyDescent="0.25"/>
    <row r="20" spans="1:38" ht="15" customHeight="1" x14ac:dyDescent="0.25">
      <c r="A20" s="7" t="s">
        <v>1772</v>
      </c>
      <c r="B20" s="10" t="s">
        <v>251</v>
      </c>
      <c r="C20" s="140">
        <v>59.309696000000002</v>
      </c>
      <c r="D20" s="140">
        <v>64.650467000000006</v>
      </c>
      <c r="E20" s="140">
        <v>58.551628000000001</v>
      </c>
      <c r="F20" s="140">
        <v>57.197887000000001</v>
      </c>
      <c r="G20" s="140">
        <v>55.224879999999999</v>
      </c>
      <c r="H20" s="140">
        <v>53.617012000000003</v>
      </c>
      <c r="I20" s="140">
        <v>53.237243999999997</v>
      </c>
      <c r="J20" s="140">
        <v>53.740783999999998</v>
      </c>
      <c r="K20" s="140">
        <v>54.457855000000002</v>
      </c>
      <c r="L20" s="140">
        <v>51.105300999999997</v>
      </c>
      <c r="M20" s="140">
        <v>48.230880999999997</v>
      </c>
      <c r="N20" s="140">
        <v>46.762301999999998</v>
      </c>
      <c r="O20" s="140">
        <v>46.469315000000002</v>
      </c>
      <c r="P20" s="140">
        <v>44.636276000000002</v>
      </c>
      <c r="Q20" s="140">
        <v>43.473381000000003</v>
      </c>
      <c r="R20" s="140">
        <v>42.450699</v>
      </c>
      <c r="S20" s="140">
        <v>43.492404999999998</v>
      </c>
      <c r="T20" s="140">
        <v>43.538978999999998</v>
      </c>
      <c r="U20" s="140">
        <v>41.745060000000002</v>
      </c>
      <c r="V20" s="140">
        <v>40.813220999999999</v>
      </c>
      <c r="W20" s="140">
        <v>40.710971999999998</v>
      </c>
      <c r="X20" s="140">
        <v>40.592812000000002</v>
      </c>
      <c r="Y20" s="140">
        <v>41.567413000000002</v>
      </c>
      <c r="Z20" s="140">
        <v>40.594765000000002</v>
      </c>
      <c r="AA20" s="140">
        <v>39.780074999999997</v>
      </c>
      <c r="AB20" s="140">
        <v>41.264243999999998</v>
      </c>
      <c r="AC20" s="140">
        <v>40.802005999999999</v>
      </c>
      <c r="AD20" s="140">
        <v>40.203560000000003</v>
      </c>
      <c r="AE20" s="140">
        <v>40.103538999999998</v>
      </c>
      <c r="AF20" s="140">
        <v>40.129223000000003</v>
      </c>
      <c r="AG20" s="140">
        <v>40.055241000000002</v>
      </c>
      <c r="AH20" s="140">
        <v>40.103935</v>
      </c>
      <c r="AI20" s="140">
        <v>40.285069</v>
      </c>
      <c r="AJ20" s="140">
        <v>40.228057999999997</v>
      </c>
      <c r="AK20" s="140">
        <v>40.155707999999997</v>
      </c>
      <c r="AL20" s="15">
        <v>-1.4328E-2</v>
      </c>
    </row>
    <row r="21" spans="1:38" ht="15" customHeight="1" x14ac:dyDescent="0.25">
      <c r="A21" s="7" t="s">
        <v>1773</v>
      </c>
      <c r="B21" s="11" t="s">
        <v>1767</v>
      </c>
      <c r="C21" s="64">
        <v>36.569527000000001</v>
      </c>
      <c r="D21" s="64">
        <v>41.502495000000003</v>
      </c>
      <c r="E21" s="64">
        <v>38.356712000000002</v>
      </c>
      <c r="F21" s="64">
        <v>37.746062999999999</v>
      </c>
      <c r="G21" s="64">
        <v>37.022632999999999</v>
      </c>
      <c r="H21" s="64">
        <v>37.726669000000001</v>
      </c>
      <c r="I21" s="64">
        <v>37.835293</v>
      </c>
      <c r="J21" s="64">
        <v>38.868782000000003</v>
      </c>
      <c r="K21" s="64">
        <v>39.327643999999999</v>
      </c>
      <c r="L21" s="64">
        <v>35.430275000000002</v>
      </c>
      <c r="M21" s="64">
        <v>32.451602999999999</v>
      </c>
      <c r="N21" s="64">
        <v>30.861151</v>
      </c>
      <c r="O21" s="64">
        <v>30.247012999999999</v>
      </c>
      <c r="P21" s="64">
        <v>28.764607999999999</v>
      </c>
      <c r="Q21" s="64">
        <v>27.354856000000002</v>
      </c>
      <c r="R21" s="64">
        <v>26.014195999999998</v>
      </c>
      <c r="S21" s="64">
        <v>26.802451999999999</v>
      </c>
      <c r="T21" s="64">
        <v>26.531775</v>
      </c>
      <c r="U21" s="64">
        <v>25.231452999999998</v>
      </c>
      <c r="V21" s="64">
        <v>23.994862000000001</v>
      </c>
      <c r="W21" s="64">
        <v>23.517363</v>
      </c>
      <c r="X21" s="64">
        <v>22.982296000000002</v>
      </c>
      <c r="Y21" s="64">
        <v>23.546607999999999</v>
      </c>
      <c r="Z21" s="64">
        <v>22.144107999999999</v>
      </c>
      <c r="AA21" s="64">
        <v>21.058826</v>
      </c>
      <c r="AB21" s="64">
        <v>22.210885999999999</v>
      </c>
      <c r="AC21" s="64">
        <v>21.768888</v>
      </c>
      <c r="AD21" s="64">
        <v>21.191544</v>
      </c>
      <c r="AE21" s="64">
        <v>21.090527000000002</v>
      </c>
      <c r="AF21" s="64">
        <v>21.102347999999999</v>
      </c>
      <c r="AG21" s="64">
        <v>21.006283</v>
      </c>
      <c r="AH21" s="64">
        <v>21.029292999999999</v>
      </c>
      <c r="AI21" s="64">
        <v>21.187815000000001</v>
      </c>
      <c r="AJ21" s="64">
        <v>21.125181000000001</v>
      </c>
      <c r="AK21" s="64">
        <v>21.054514000000001</v>
      </c>
      <c r="AL21" s="13">
        <v>-2.0355000000000002E-2</v>
      </c>
    </row>
    <row r="22" spans="1:38" ht="15" customHeight="1" x14ac:dyDescent="0.25">
      <c r="A22" s="7" t="s">
        <v>1774</v>
      </c>
      <c r="B22" s="11" t="s">
        <v>1775</v>
      </c>
      <c r="C22" s="64">
        <v>3.7533349999999999</v>
      </c>
      <c r="D22" s="64">
        <v>5.135332</v>
      </c>
      <c r="E22" s="64">
        <v>4.7188910000000002</v>
      </c>
      <c r="F22" s="64">
        <v>4.7342779999999998</v>
      </c>
      <c r="G22" s="64">
        <v>4.1924910000000004</v>
      </c>
      <c r="H22" s="64">
        <v>3.034589</v>
      </c>
      <c r="I22" s="64">
        <v>2.9012959999999999</v>
      </c>
      <c r="J22" s="64">
        <v>2.7757049999999999</v>
      </c>
      <c r="K22" s="64">
        <v>2.662337</v>
      </c>
      <c r="L22" s="64">
        <v>3.051507</v>
      </c>
      <c r="M22" s="64">
        <v>2.9151660000000001</v>
      </c>
      <c r="N22" s="64">
        <v>2.789882</v>
      </c>
      <c r="O22" s="64">
        <v>2.8627050000000001</v>
      </c>
      <c r="P22" s="64">
        <v>2.7335790000000002</v>
      </c>
      <c r="Q22" s="64">
        <v>2.6159219999999999</v>
      </c>
      <c r="R22" s="64">
        <v>2.5033180000000002</v>
      </c>
      <c r="S22" s="64">
        <v>2.501754</v>
      </c>
      <c r="T22" s="64">
        <v>2.4572509999999999</v>
      </c>
      <c r="U22" s="64">
        <v>2.3521770000000002</v>
      </c>
      <c r="V22" s="64">
        <v>2.2913429999999999</v>
      </c>
      <c r="W22" s="64">
        <v>2.391826</v>
      </c>
      <c r="X22" s="64">
        <v>2.4350930000000002</v>
      </c>
      <c r="Y22" s="64">
        <v>2.3714650000000002</v>
      </c>
      <c r="Z22" s="64">
        <v>2.2832210000000002</v>
      </c>
      <c r="AA22" s="64">
        <v>3.986764</v>
      </c>
      <c r="AB22" s="64">
        <v>6.3659970000000001</v>
      </c>
      <c r="AC22" s="64">
        <v>6.571256</v>
      </c>
      <c r="AD22" s="64">
        <v>6.66256</v>
      </c>
      <c r="AE22" s="64">
        <v>6.5643570000000002</v>
      </c>
      <c r="AF22" s="64">
        <v>6.3286870000000004</v>
      </c>
      <c r="AG22" s="64">
        <v>5.9362120000000003</v>
      </c>
      <c r="AH22" s="64">
        <v>5.7008010000000002</v>
      </c>
      <c r="AI22" s="64">
        <v>5.4736900000000004</v>
      </c>
      <c r="AJ22" s="64">
        <v>5.318225</v>
      </c>
      <c r="AK22" s="64">
        <v>5.1324670000000001</v>
      </c>
      <c r="AL22" s="13">
        <v>-1.7E-5</v>
      </c>
    </row>
    <row r="23" spans="1:38" ht="15" customHeight="1" x14ac:dyDescent="0.25">
      <c r="A23" s="7" t="s">
        <v>1776</v>
      </c>
      <c r="B23" s="11" t="s">
        <v>1769</v>
      </c>
      <c r="C23" s="64">
        <v>18.986834999999999</v>
      </c>
      <c r="D23" s="64">
        <v>18.012644000000002</v>
      </c>
      <c r="E23" s="64">
        <v>15.476025</v>
      </c>
      <c r="F23" s="64">
        <v>14.717546</v>
      </c>
      <c r="G23" s="64">
        <v>14.009759000000001</v>
      </c>
      <c r="H23" s="64">
        <v>12.855757000000001</v>
      </c>
      <c r="I23" s="64">
        <v>12.500654000000001</v>
      </c>
      <c r="J23" s="64">
        <v>12.096296000000001</v>
      </c>
      <c r="K23" s="64">
        <v>12.467871000000001</v>
      </c>
      <c r="L23" s="64">
        <v>12.623519</v>
      </c>
      <c r="M23" s="64">
        <v>12.864114000000001</v>
      </c>
      <c r="N23" s="64">
        <v>13.111272</v>
      </c>
      <c r="O23" s="64">
        <v>13.359595000000001</v>
      </c>
      <c r="P23" s="64">
        <v>13.13809</v>
      </c>
      <c r="Q23" s="64">
        <v>13.502599999999999</v>
      </c>
      <c r="R23" s="64">
        <v>13.933187</v>
      </c>
      <c r="S23" s="64">
        <v>14.188198999999999</v>
      </c>
      <c r="T23" s="64">
        <v>14.549951999999999</v>
      </c>
      <c r="U23" s="64">
        <v>14.161429999999999</v>
      </c>
      <c r="V23" s="64">
        <v>14.527016</v>
      </c>
      <c r="W23" s="64">
        <v>14.801783</v>
      </c>
      <c r="X23" s="64">
        <v>15.175424</v>
      </c>
      <c r="Y23" s="64">
        <v>15.649341</v>
      </c>
      <c r="Z23" s="64">
        <v>16.167437</v>
      </c>
      <c r="AA23" s="64">
        <v>14.734484999999999</v>
      </c>
      <c r="AB23" s="64">
        <v>12.687362</v>
      </c>
      <c r="AC23" s="64">
        <v>12.461861000000001</v>
      </c>
      <c r="AD23" s="64">
        <v>12.349455000000001</v>
      </c>
      <c r="AE23" s="64">
        <v>12.448651999999999</v>
      </c>
      <c r="AF23" s="64">
        <v>12.698186</v>
      </c>
      <c r="AG23" s="64">
        <v>13.112748</v>
      </c>
      <c r="AH23" s="64">
        <v>13.373839</v>
      </c>
      <c r="AI23" s="64">
        <v>13.623563000000001</v>
      </c>
      <c r="AJ23" s="64">
        <v>13.784649999999999</v>
      </c>
      <c r="AK23" s="64">
        <v>13.968729</v>
      </c>
      <c r="AL23" s="13">
        <v>-7.6750000000000004E-3</v>
      </c>
    </row>
    <row r="24" spans="1:38" ht="15" customHeight="1" x14ac:dyDescent="0.25"/>
    <row r="25" spans="1:38" ht="15" customHeight="1" x14ac:dyDescent="0.25">
      <c r="A25" s="7" t="s">
        <v>1777</v>
      </c>
      <c r="B25" s="10" t="s">
        <v>252</v>
      </c>
      <c r="C25" s="140">
        <v>7.9818199999999999</v>
      </c>
      <c r="D25" s="140">
        <v>7.9788759999999996</v>
      </c>
      <c r="E25" s="140">
        <v>8.5591340000000002</v>
      </c>
      <c r="F25" s="140">
        <v>8.6181579999999993</v>
      </c>
      <c r="G25" s="140">
        <v>7.8798240000000002</v>
      </c>
      <c r="H25" s="140">
        <v>8.0938219999999994</v>
      </c>
      <c r="I25" s="140">
        <v>8.4276149999999994</v>
      </c>
      <c r="J25" s="140">
        <v>8.7996809999999996</v>
      </c>
      <c r="K25" s="140">
        <v>9.2682230000000008</v>
      </c>
      <c r="L25" s="140">
        <v>9.6193380000000008</v>
      </c>
      <c r="M25" s="140">
        <v>10.044385</v>
      </c>
      <c r="N25" s="140">
        <v>10.482227</v>
      </c>
      <c r="O25" s="140">
        <v>10.944224</v>
      </c>
      <c r="P25" s="140">
        <v>11.196846000000001</v>
      </c>
      <c r="Q25" s="140">
        <v>11.671032</v>
      </c>
      <c r="R25" s="140">
        <v>12.224508</v>
      </c>
      <c r="S25" s="140">
        <v>12.7971</v>
      </c>
      <c r="T25" s="140">
        <v>13.398293000000001</v>
      </c>
      <c r="U25" s="140">
        <v>12.997199999999999</v>
      </c>
      <c r="V25" s="140">
        <v>13.670178999999999</v>
      </c>
      <c r="W25" s="140">
        <v>14.294271</v>
      </c>
      <c r="X25" s="140">
        <v>15.024552999999999</v>
      </c>
      <c r="Y25" s="140">
        <v>15.70153</v>
      </c>
      <c r="Z25" s="140">
        <v>16.417994</v>
      </c>
      <c r="AA25" s="140">
        <v>17.144646000000002</v>
      </c>
      <c r="AB25" s="140">
        <v>14.185544</v>
      </c>
      <c r="AC25" s="140">
        <v>13.580252</v>
      </c>
      <c r="AD25" s="140">
        <v>12.969821</v>
      </c>
      <c r="AE25" s="140">
        <v>12.389028</v>
      </c>
      <c r="AF25" s="140">
        <v>11.839019</v>
      </c>
      <c r="AG25" s="140">
        <v>12.68289</v>
      </c>
      <c r="AH25" s="140">
        <v>13.279711000000001</v>
      </c>
      <c r="AI25" s="140">
        <v>14.908102</v>
      </c>
      <c r="AJ25" s="140">
        <v>14.894427</v>
      </c>
      <c r="AK25" s="140">
        <v>12.460276</v>
      </c>
      <c r="AL25" s="15">
        <v>1.3599E-2</v>
      </c>
    </row>
    <row r="26" spans="1:38" ht="15" customHeight="1" x14ac:dyDescent="0.25">
      <c r="A26" s="7" t="s">
        <v>1778</v>
      </c>
      <c r="B26" s="11" t="s">
        <v>1779</v>
      </c>
      <c r="C26" s="64">
        <v>6.8471200000000003</v>
      </c>
      <c r="D26" s="64">
        <v>6.9268229999999997</v>
      </c>
      <c r="E26" s="64">
        <v>6.963476</v>
      </c>
      <c r="F26" s="64">
        <v>6.6249659999999997</v>
      </c>
      <c r="G26" s="64">
        <v>6.0844389999999997</v>
      </c>
      <c r="H26" s="64">
        <v>6.4411350000000001</v>
      </c>
      <c r="I26" s="64">
        <v>6.77203</v>
      </c>
      <c r="J26" s="64">
        <v>7.1383089999999996</v>
      </c>
      <c r="K26" s="64">
        <v>7.5950490000000004</v>
      </c>
      <c r="L26" s="64">
        <v>7.9537880000000003</v>
      </c>
      <c r="M26" s="64">
        <v>8.3955610000000007</v>
      </c>
      <c r="N26" s="64">
        <v>8.8537739999999996</v>
      </c>
      <c r="O26" s="64">
        <v>9.3376660000000005</v>
      </c>
      <c r="P26" s="64">
        <v>9.8382869999999993</v>
      </c>
      <c r="Q26" s="64">
        <v>10.373991999999999</v>
      </c>
      <c r="R26" s="64">
        <v>10.937402000000001</v>
      </c>
      <c r="S26" s="64">
        <v>11.525200999999999</v>
      </c>
      <c r="T26" s="64">
        <v>12.139713</v>
      </c>
      <c r="U26" s="64">
        <v>11.524493</v>
      </c>
      <c r="V26" s="64">
        <v>12.133316000000001</v>
      </c>
      <c r="W26" s="64">
        <v>12.772219</v>
      </c>
      <c r="X26" s="64">
        <v>13.456572</v>
      </c>
      <c r="Y26" s="64">
        <v>14.152293</v>
      </c>
      <c r="Z26" s="64">
        <v>14.887197</v>
      </c>
      <c r="AA26" s="64">
        <v>15.627958</v>
      </c>
      <c r="AB26" s="64">
        <v>12.680448999999999</v>
      </c>
      <c r="AC26" s="64">
        <v>12.058982</v>
      </c>
      <c r="AD26" s="64">
        <v>11.467972</v>
      </c>
      <c r="AE26" s="64">
        <v>10.905927</v>
      </c>
      <c r="AF26" s="64">
        <v>10.371428</v>
      </c>
      <c r="AG26" s="64">
        <v>11.224209</v>
      </c>
      <c r="AH26" s="64">
        <v>11.788686</v>
      </c>
      <c r="AI26" s="64">
        <v>13.419959</v>
      </c>
      <c r="AJ26" s="64">
        <v>13.418616999999999</v>
      </c>
      <c r="AK26" s="64">
        <v>11.000133999999999</v>
      </c>
      <c r="AL26" s="13">
        <v>1.4114E-2</v>
      </c>
    </row>
    <row r="27" spans="1:38" ht="15" customHeight="1" x14ac:dyDescent="0.25">
      <c r="A27" s="7" t="s">
        <v>1780</v>
      </c>
      <c r="B27" s="11" t="s">
        <v>1775</v>
      </c>
      <c r="C27" s="64">
        <v>0.179369</v>
      </c>
      <c r="D27" s="64">
        <v>0.166403</v>
      </c>
      <c r="E27" s="64">
        <v>0.66216200000000003</v>
      </c>
      <c r="F27" s="64">
        <v>0.99204300000000001</v>
      </c>
      <c r="G27" s="64">
        <v>0.75873000000000002</v>
      </c>
      <c r="H27" s="64">
        <v>0.59449600000000002</v>
      </c>
      <c r="I27" s="64">
        <v>0.57866099999999998</v>
      </c>
      <c r="J27" s="64">
        <v>0.56182799999999999</v>
      </c>
      <c r="K27" s="64">
        <v>0.54660299999999995</v>
      </c>
      <c r="L27" s="64">
        <v>0.52951099999999995</v>
      </c>
      <c r="M27" s="64">
        <v>0.51322000000000001</v>
      </c>
      <c r="N27" s="64">
        <v>0.49706600000000001</v>
      </c>
      <c r="O27" s="64">
        <v>0.48121399999999998</v>
      </c>
      <c r="P27" s="64">
        <v>0.249169</v>
      </c>
      <c r="Q27" s="64">
        <v>0.19805600000000001</v>
      </c>
      <c r="R27" s="64">
        <v>0.19633999999999999</v>
      </c>
      <c r="S27" s="64">
        <v>0.19381599999999999</v>
      </c>
      <c r="T27" s="64">
        <v>0.191605</v>
      </c>
      <c r="U27" s="64">
        <v>0.41522799999999999</v>
      </c>
      <c r="V27" s="64">
        <v>0.49409399999999998</v>
      </c>
      <c r="W27" s="64">
        <v>0.47888700000000001</v>
      </c>
      <c r="X27" s="64">
        <v>0.52167399999999997</v>
      </c>
      <c r="Y27" s="64">
        <v>0.50475899999999996</v>
      </c>
      <c r="Z27" s="64">
        <v>0.48858200000000002</v>
      </c>
      <c r="AA27" s="64">
        <v>0.47370600000000002</v>
      </c>
      <c r="AB27" s="64">
        <v>0.45982899999999999</v>
      </c>
      <c r="AC27" s="64">
        <v>0.47628999999999999</v>
      </c>
      <c r="AD27" s="64">
        <v>0.46176099999999998</v>
      </c>
      <c r="AE27" s="64">
        <v>0.44811200000000001</v>
      </c>
      <c r="AF27" s="64">
        <v>0.43528899999999998</v>
      </c>
      <c r="AG27" s="64">
        <v>0.42314000000000002</v>
      </c>
      <c r="AH27" s="64">
        <v>0.452602</v>
      </c>
      <c r="AI27" s="64">
        <v>0.44747500000000001</v>
      </c>
      <c r="AJ27" s="64">
        <v>0.43456699999999998</v>
      </c>
      <c r="AK27" s="64">
        <v>0.42207</v>
      </c>
      <c r="AL27" s="13">
        <v>2.8605999999999999E-2</v>
      </c>
    </row>
    <row r="28" spans="1:38" ht="15" customHeight="1" x14ac:dyDescent="0.25">
      <c r="A28" s="7" t="s">
        <v>1781</v>
      </c>
      <c r="B28" s="11" t="s">
        <v>1769</v>
      </c>
      <c r="C28" s="64">
        <v>0.95533100000000004</v>
      </c>
      <c r="D28" s="64">
        <v>0.88565000000000005</v>
      </c>
      <c r="E28" s="64">
        <v>0.93349499999999996</v>
      </c>
      <c r="F28" s="64">
        <v>1.00115</v>
      </c>
      <c r="G28" s="64">
        <v>1.036654</v>
      </c>
      <c r="H28" s="64">
        <v>1.05819</v>
      </c>
      <c r="I28" s="64">
        <v>1.076924</v>
      </c>
      <c r="J28" s="64">
        <v>1.0995440000000001</v>
      </c>
      <c r="K28" s="64">
        <v>1.1265700000000001</v>
      </c>
      <c r="L28" s="64">
        <v>1.136039</v>
      </c>
      <c r="M28" s="64">
        <v>1.1356040000000001</v>
      </c>
      <c r="N28" s="64">
        <v>1.1313880000000001</v>
      </c>
      <c r="O28" s="64">
        <v>1.125346</v>
      </c>
      <c r="P28" s="64">
        <v>1.109391</v>
      </c>
      <c r="Q28" s="64">
        <v>1.098984</v>
      </c>
      <c r="R28" s="64">
        <v>1.090767</v>
      </c>
      <c r="S28" s="64">
        <v>1.0780829999999999</v>
      </c>
      <c r="T28" s="64">
        <v>1.0669759999999999</v>
      </c>
      <c r="U28" s="64">
        <v>1.0574779999999999</v>
      </c>
      <c r="V28" s="64">
        <v>1.0427690000000001</v>
      </c>
      <c r="W28" s="64">
        <v>1.043164</v>
      </c>
      <c r="X28" s="64">
        <v>1.046308</v>
      </c>
      <c r="Y28" s="64">
        <v>1.0444770000000001</v>
      </c>
      <c r="Z28" s="64">
        <v>1.0422149999999999</v>
      </c>
      <c r="AA28" s="64">
        <v>1.0429820000000001</v>
      </c>
      <c r="AB28" s="64">
        <v>1.0452650000000001</v>
      </c>
      <c r="AC28" s="64">
        <v>1.04498</v>
      </c>
      <c r="AD28" s="64">
        <v>1.0400879999999999</v>
      </c>
      <c r="AE28" s="64">
        <v>1.034988</v>
      </c>
      <c r="AF28" s="64">
        <v>1.032303</v>
      </c>
      <c r="AG28" s="64">
        <v>1.035542</v>
      </c>
      <c r="AH28" s="64">
        <v>1.038424</v>
      </c>
      <c r="AI28" s="64">
        <v>1.0406679999999999</v>
      </c>
      <c r="AJ28" s="64">
        <v>1.0412440000000001</v>
      </c>
      <c r="AK28" s="64">
        <v>1.0380720000000001</v>
      </c>
      <c r="AL28" s="13">
        <v>4.8240000000000002E-3</v>
      </c>
    </row>
    <row r="29" spans="1:38" ht="15" customHeight="1" x14ac:dyDescent="0.25"/>
    <row r="30" spans="1:38" ht="15" customHeight="1" x14ac:dyDescent="0.25">
      <c r="A30" s="7" t="s">
        <v>1782</v>
      </c>
      <c r="B30" s="10" t="s">
        <v>253</v>
      </c>
      <c r="C30" s="140">
        <v>110.167046</v>
      </c>
      <c r="D30" s="140">
        <v>117.773743</v>
      </c>
      <c r="E30" s="140">
        <v>119.50050400000001</v>
      </c>
      <c r="F30" s="140">
        <v>150.00756799999999</v>
      </c>
      <c r="G30" s="140">
        <v>155.767685</v>
      </c>
      <c r="H30" s="140">
        <v>154.44317599999999</v>
      </c>
      <c r="I30" s="140">
        <v>156.08094800000001</v>
      </c>
      <c r="J30" s="140">
        <v>156.85395800000001</v>
      </c>
      <c r="K30" s="140">
        <v>152.38940400000001</v>
      </c>
      <c r="L30" s="140">
        <v>155.28327899999999</v>
      </c>
      <c r="M30" s="140">
        <v>163.224457</v>
      </c>
      <c r="N30" s="140">
        <v>163.83029199999999</v>
      </c>
      <c r="O30" s="140">
        <v>164.62608299999999</v>
      </c>
      <c r="P30" s="140">
        <v>166.02889999999999</v>
      </c>
      <c r="Q30" s="140">
        <v>171.628265</v>
      </c>
      <c r="R30" s="140">
        <v>171.817871</v>
      </c>
      <c r="S30" s="140">
        <v>171.917114</v>
      </c>
      <c r="T30" s="140">
        <v>173.129288</v>
      </c>
      <c r="U30" s="140">
        <v>174.57867400000001</v>
      </c>
      <c r="V30" s="140">
        <v>176.186554</v>
      </c>
      <c r="W30" s="140">
        <v>177.52619899999999</v>
      </c>
      <c r="X30" s="140">
        <v>178.51876799999999</v>
      </c>
      <c r="Y30" s="140">
        <v>182.35884100000001</v>
      </c>
      <c r="Z30" s="140">
        <v>189.00341800000001</v>
      </c>
      <c r="AA30" s="140">
        <v>193.25376900000001</v>
      </c>
      <c r="AB30" s="140">
        <v>195.493561</v>
      </c>
      <c r="AC30" s="140">
        <v>198.07238799999999</v>
      </c>
      <c r="AD30" s="140">
        <v>198.27018699999999</v>
      </c>
      <c r="AE30" s="140">
        <v>197.56242399999999</v>
      </c>
      <c r="AF30" s="140">
        <v>198.656586</v>
      </c>
      <c r="AG30" s="140">
        <v>201.039276</v>
      </c>
      <c r="AH30" s="140">
        <v>203.355896</v>
      </c>
      <c r="AI30" s="140">
        <v>202.864532</v>
      </c>
      <c r="AJ30" s="140">
        <v>205.15441899999999</v>
      </c>
      <c r="AK30" s="140">
        <v>205.651321</v>
      </c>
      <c r="AL30" s="15">
        <v>1.7035000000000002E-2</v>
      </c>
    </row>
    <row r="31" spans="1:38" ht="15" customHeight="1" x14ac:dyDescent="0.25">
      <c r="A31" s="7" t="s">
        <v>1783</v>
      </c>
      <c r="B31" s="11" t="s">
        <v>1769</v>
      </c>
      <c r="C31" s="64">
        <v>14.425941</v>
      </c>
      <c r="D31" s="64">
        <v>13.657259</v>
      </c>
      <c r="E31" s="64">
        <v>7.56792</v>
      </c>
      <c r="F31" s="64">
        <v>13.927307000000001</v>
      </c>
      <c r="G31" s="64">
        <v>15.957096999999999</v>
      </c>
      <c r="H31" s="64">
        <v>16.439043000000002</v>
      </c>
      <c r="I31" s="64">
        <v>16.634708</v>
      </c>
      <c r="J31" s="64">
        <v>16.633458999999998</v>
      </c>
      <c r="K31" s="64">
        <v>17.528006000000001</v>
      </c>
      <c r="L31" s="64">
        <v>20.086549999999999</v>
      </c>
      <c r="M31" s="64">
        <v>20.881115000000001</v>
      </c>
      <c r="N31" s="64">
        <v>21.212692000000001</v>
      </c>
      <c r="O31" s="64">
        <v>21.667764999999999</v>
      </c>
      <c r="P31" s="64">
        <v>21.716056999999999</v>
      </c>
      <c r="Q31" s="64">
        <v>21.958143</v>
      </c>
      <c r="R31" s="64">
        <v>22.078752999999999</v>
      </c>
      <c r="S31" s="64">
        <v>22.29731</v>
      </c>
      <c r="T31" s="64">
        <v>22.802979000000001</v>
      </c>
      <c r="U31" s="64">
        <v>23.203486999999999</v>
      </c>
      <c r="V31" s="64">
        <v>23.814142</v>
      </c>
      <c r="W31" s="64">
        <v>24.023800000000001</v>
      </c>
      <c r="X31" s="64">
        <v>24.248396</v>
      </c>
      <c r="Y31" s="64">
        <v>24.217341999999999</v>
      </c>
      <c r="Z31" s="64">
        <v>24.430886999999998</v>
      </c>
      <c r="AA31" s="64">
        <v>24.867267999999999</v>
      </c>
      <c r="AB31" s="64">
        <v>25.067329000000001</v>
      </c>
      <c r="AC31" s="64">
        <v>25.064823000000001</v>
      </c>
      <c r="AD31" s="64">
        <v>25.034821000000001</v>
      </c>
      <c r="AE31" s="64">
        <v>25.227654000000001</v>
      </c>
      <c r="AF31" s="64">
        <v>25.679746999999999</v>
      </c>
      <c r="AG31" s="64">
        <v>26.188478</v>
      </c>
      <c r="AH31" s="64">
        <v>26.395668000000001</v>
      </c>
      <c r="AI31" s="64">
        <v>26.131444999999999</v>
      </c>
      <c r="AJ31" s="64">
        <v>26.602554000000001</v>
      </c>
      <c r="AK31" s="64">
        <v>26.522037999999998</v>
      </c>
      <c r="AL31" s="13">
        <v>2.0316000000000001E-2</v>
      </c>
    </row>
    <row r="32" spans="1:38" ht="15" customHeight="1" x14ac:dyDescent="0.25">
      <c r="A32" s="7" t="s">
        <v>1784</v>
      </c>
      <c r="B32" s="11" t="s">
        <v>1771</v>
      </c>
      <c r="C32" s="64">
        <v>93.805831999999995</v>
      </c>
      <c r="D32" s="64">
        <v>102.276062</v>
      </c>
      <c r="E32" s="64">
        <v>109.31207999999999</v>
      </c>
      <c r="F32" s="64">
        <v>133.53573600000001</v>
      </c>
      <c r="G32" s="64">
        <v>137.313614</v>
      </c>
      <c r="H32" s="64">
        <v>135.758713</v>
      </c>
      <c r="I32" s="64">
        <v>137.452438</v>
      </c>
      <c r="J32" s="64">
        <v>138.478455</v>
      </c>
      <c r="K32" s="64">
        <v>133.37123099999999</v>
      </c>
      <c r="L32" s="64">
        <v>133.959</v>
      </c>
      <c r="M32" s="64">
        <v>141.33329800000001</v>
      </c>
      <c r="N32" s="64">
        <v>141.835342</v>
      </c>
      <c r="O32" s="64">
        <v>142.404144</v>
      </c>
      <c r="P32" s="64">
        <v>143.98692299999999</v>
      </c>
      <c r="Q32" s="64">
        <v>149.48117099999999</v>
      </c>
      <c r="R32" s="64">
        <v>149.55017100000001</v>
      </c>
      <c r="S32" s="64">
        <v>149.43086199999999</v>
      </c>
      <c r="T32" s="64">
        <v>150.13736</v>
      </c>
      <c r="U32" s="64">
        <v>150.312454</v>
      </c>
      <c r="V32" s="64">
        <v>150.85713200000001</v>
      </c>
      <c r="W32" s="64">
        <v>151.926208</v>
      </c>
      <c r="X32" s="64">
        <v>152.614273</v>
      </c>
      <c r="Y32" s="64">
        <v>156.43588299999999</v>
      </c>
      <c r="Z32" s="64">
        <v>162.832626</v>
      </c>
      <c r="AA32" s="64">
        <v>166.61163300000001</v>
      </c>
      <c r="AB32" s="64">
        <v>168.615692</v>
      </c>
      <c r="AC32" s="64">
        <v>171.160629</v>
      </c>
      <c r="AD32" s="64">
        <v>171.388611</v>
      </c>
      <c r="AE32" s="64">
        <v>170.524765</v>
      </c>
      <c r="AF32" s="64">
        <v>171.16684000000001</v>
      </c>
      <c r="AG32" s="64">
        <v>173.04096999999999</v>
      </c>
      <c r="AH32" s="64">
        <v>175.150406</v>
      </c>
      <c r="AI32" s="64">
        <v>174.92344700000001</v>
      </c>
      <c r="AJ32" s="64">
        <v>176.72430399999999</v>
      </c>
      <c r="AK32" s="64">
        <v>177.283447</v>
      </c>
      <c r="AL32" s="13">
        <v>1.6809000000000001E-2</v>
      </c>
    </row>
    <row r="33" spans="1:38" ht="15" customHeight="1" x14ac:dyDescent="0.25">
      <c r="A33" s="7" t="s">
        <v>1785</v>
      </c>
      <c r="B33" s="11" t="s">
        <v>1786</v>
      </c>
      <c r="C33" s="64">
        <v>1.9352720000000001</v>
      </c>
      <c r="D33" s="64">
        <v>1.8404240000000001</v>
      </c>
      <c r="E33" s="64">
        <v>2.6205020000000001</v>
      </c>
      <c r="F33" s="64">
        <v>2.5445310000000001</v>
      </c>
      <c r="G33" s="64">
        <v>2.4969760000000001</v>
      </c>
      <c r="H33" s="64">
        <v>2.245412</v>
      </c>
      <c r="I33" s="64">
        <v>1.9938039999999999</v>
      </c>
      <c r="J33" s="64">
        <v>1.742043</v>
      </c>
      <c r="K33" s="64">
        <v>1.4901660000000001</v>
      </c>
      <c r="L33" s="64">
        <v>1.23773</v>
      </c>
      <c r="M33" s="64">
        <v>1.010038</v>
      </c>
      <c r="N33" s="64">
        <v>0.78225100000000003</v>
      </c>
      <c r="O33" s="64">
        <v>0.55417099999999997</v>
      </c>
      <c r="P33" s="64">
        <v>0.32591700000000001</v>
      </c>
      <c r="Q33" s="64">
        <v>0.188948</v>
      </c>
      <c r="R33" s="64">
        <v>0.188948</v>
      </c>
      <c r="S33" s="64">
        <v>0.188948</v>
      </c>
      <c r="T33" s="64">
        <v>0.188948</v>
      </c>
      <c r="U33" s="64">
        <v>1.062735</v>
      </c>
      <c r="V33" s="64">
        <v>1.515279</v>
      </c>
      <c r="W33" s="64">
        <v>1.576187</v>
      </c>
      <c r="X33" s="64">
        <v>1.6561049999999999</v>
      </c>
      <c r="Y33" s="64">
        <v>1.7056169999999999</v>
      </c>
      <c r="Z33" s="64">
        <v>1.7399</v>
      </c>
      <c r="AA33" s="64">
        <v>1.774872</v>
      </c>
      <c r="AB33" s="64">
        <v>1.8105469999999999</v>
      </c>
      <c r="AC33" s="64">
        <v>1.8469390000000001</v>
      </c>
      <c r="AD33" s="64">
        <v>1.846754</v>
      </c>
      <c r="AE33" s="64">
        <v>1.8100039999999999</v>
      </c>
      <c r="AF33" s="64">
        <v>1.8100039999999999</v>
      </c>
      <c r="AG33" s="64">
        <v>1.809823</v>
      </c>
      <c r="AH33" s="64">
        <v>1.809823</v>
      </c>
      <c r="AI33" s="64">
        <v>1.809642</v>
      </c>
      <c r="AJ33" s="64">
        <v>1.827556</v>
      </c>
      <c r="AK33" s="64">
        <v>1.845831</v>
      </c>
      <c r="AL33" s="13">
        <v>8.8999999999999995E-5</v>
      </c>
    </row>
    <row r="35" spans="1:38" ht="15" customHeight="1" x14ac:dyDescent="0.25">
      <c r="A35" s="7" t="s">
        <v>1787</v>
      </c>
      <c r="B35" s="10" t="s">
        <v>254</v>
      </c>
      <c r="C35" s="140">
        <v>1.562181</v>
      </c>
      <c r="D35" s="140">
        <v>1.365569</v>
      </c>
      <c r="E35" s="140">
        <v>1.1609830000000001</v>
      </c>
      <c r="F35" s="140">
        <v>1.2526919999999999</v>
      </c>
      <c r="G35" s="140">
        <v>0.39241999999999999</v>
      </c>
      <c r="H35" s="140">
        <v>0.39965200000000001</v>
      </c>
      <c r="I35" s="140">
        <v>0.40594400000000003</v>
      </c>
      <c r="J35" s="140">
        <v>0.40876600000000002</v>
      </c>
      <c r="K35" s="140">
        <v>0.412854</v>
      </c>
      <c r="L35" s="140">
        <v>0.41205999999999998</v>
      </c>
      <c r="M35" s="140">
        <v>0.41123999999999999</v>
      </c>
      <c r="N35" s="140">
        <v>0.409275</v>
      </c>
      <c r="O35" s="140">
        <v>0.40652899999999997</v>
      </c>
      <c r="P35" s="140">
        <v>0.40082000000000001</v>
      </c>
      <c r="Q35" s="140">
        <v>0.39701799999999998</v>
      </c>
      <c r="R35" s="140">
        <v>0.39394400000000002</v>
      </c>
      <c r="S35" s="140">
        <v>0.38942500000000002</v>
      </c>
      <c r="T35" s="140">
        <v>0.38546399999999997</v>
      </c>
      <c r="U35" s="140">
        <v>0.38206899999999999</v>
      </c>
      <c r="V35" s="140">
        <v>0.72003300000000003</v>
      </c>
      <c r="W35" s="140">
        <v>0.76388299999999998</v>
      </c>
      <c r="X35" s="140">
        <v>0.93032899999999996</v>
      </c>
      <c r="Y35" s="140">
        <v>1.2094279999999999</v>
      </c>
      <c r="Z35" s="140">
        <v>1.45129</v>
      </c>
      <c r="AA35" s="140">
        <v>0.37524299999999999</v>
      </c>
      <c r="AB35" s="140">
        <v>0.37565300000000001</v>
      </c>
      <c r="AC35" s="140">
        <v>0.37533300000000003</v>
      </c>
      <c r="AD35" s="140">
        <v>0.37479699999999999</v>
      </c>
      <c r="AE35" s="140">
        <v>0.37458799999999998</v>
      </c>
      <c r="AF35" s="140">
        <v>0.37467</v>
      </c>
      <c r="AG35" s="140">
        <v>0.37483</v>
      </c>
      <c r="AH35" s="140">
        <v>0.37541099999999999</v>
      </c>
      <c r="AI35" s="140">
        <v>0.37573000000000001</v>
      </c>
      <c r="AJ35" s="140">
        <v>0.37554900000000002</v>
      </c>
      <c r="AK35" s="140">
        <v>0.37497900000000001</v>
      </c>
      <c r="AL35" s="15">
        <v>-3.8407999999999998E-2</v>
      </c>
    </row>
    <row r="37" spans="1:38" ht="15" customHeight="1" x14ac:dyDescent="0.25">
      <c r="A37" s="7" t="s">
        <v>1788</v>
      </c>
      <c r="B37" s="10" t="s">
        <v>255</v>
      </c>
      <c r="C37" s="140">
        <v>35.088768000000002</v>
      </c>
      <c r="D37" s="140">
        <v>30.718063000000001</v>
      </c>
      <c r="E37" s="140">
        <v>31.840944</v>
      </c>
      <c r="F37" s="140">
        <v>28.745804</v>
      </c>
      <c r="G37" s="140">
        <v>24.475373999999999</v>
      </c>
      <c r="H37" s="140">
        <v>22.902066999999999</v>
      </c>
      <c r="I37" s="140">
        <v>21.779637999999998</v>
      </c>
      <c r="J37" s="140">
        <v>28.640825</v>
      </c>
      <c r="K37" s="140">
        <v>32.561630000000001</v>
      </c>
      <c r="L37" s="140">
        <v>32.080696000000003</v>
      </c>
      <c r="M37" s="140">
        <v>33.324303</v>
      </c>
      <c r="N37" s="140">
        <v>34.130305999999997</v>
      </c>
      <c r="O37" s="140">
        <v>34.519908999999998</v>
      </c>
      <c r="P37" s="140">
        <v>34.70805</v>
      </c>
      <c r="Q37" s="140">
        <v>33.546936000000002</v>
      </c>
      <c r="R37" s="140">
        <v>33.542610000000003</v>
      </c>
      <c r="S37" s="140">
        <v>33.109034999999999</v>
      </c>
      <c r="T37" s="140">
        <v>34.342224000000002</v>
      </c>
      <c r="U37" s="140">
        <v>33.312491999999999</v>
      </c>
      <c r="V37" s="140">
        <v>34.625137000000002</v>
      </c>
      <c r="W37" s="140">
        <v>34.275458999999998</v>
      </c>
      <c r="X37" s="140">
        <v>34.184052000000001</v>
      </c>
      <c r="Y37" s="140">
        <v>34.229416000000001</v>
      </c>
      <c r="Z37" s="140">
        <v>34.277863000000004</v>
      </c>
      <c r="AA37" s="140">
        <v>34.198242</v>
      </c>
      <c r="AB37" s="140">
        <v>34.223381000000003</v>
      </c>
      <c r="AC37" s="140">
        <v>34.083328000000002</v>
      </c>
      <c r="AD37" s="140">
        <v>33.957146000000002</v>
      </c>
      <c r="AE37" s="140">
        <v>34.079608999999998</v>
      </c>
      <c r="AF37" s="140">
        <v>33.991309999999999</v>
      </c>
      <c r="AG37" s="140">
        <v>33.427551000000001</v>
      </c>
      <c r="AH37" s="140">
        <v>33.270530999999998</v>
      </c>
      <c r="AI37" s="140">
        <v>33.399909999999998</v>
      </c>
      <c r="AJ37" s="140">
        <v>33.875160000000001</v>
      </c>
      <c r="AK37" s="140">
        <v>33.869819999999997</v>
      </c>
      <c r="AL37" s="15">
        <v>2.9640000000000001E-3</v>
      </c>
    </row>
    <row r="38" spans="1:38" ht="15" customHeight="1" x14ac:dyDescent="0.25">
      <c r="A38" s="7" t="s">
        <v>1789</v>
      </c>
      <c r="B38" s="11" t="s">
        <v>1786</v>
      </c>
      <c r="C38" s="64">
        <v>24.595184</v>
      </c>
      <c r="D38" s="64">
        <v>21.061436</v>
      </c>
      <c r="E38" s="64">
        <v>20.836680999999999</v>
      </c>
      <c r="F38" s="64">
        <v>17.022289000000001</v>
      </c>
      <c r="G38" s="64">
        <v>15.224971</v>
      </c>
      <c r="H38" s="64">
        <v>15.141427</v>
      </c>
      <c r="I38" s="64">
        <v>14.399346</v>
      </c>
      <c r="J38" s="64">
        <v>21.622242</v>
      </c>
      <c r="K38" s="64">
        <v>23.424911000000002</v>
      </c>
      <c r="L38" s="64">
        <v>22.949387000000002</v>
      </c>
      <c r="M38" s="64">
        <v>23.637867</v>
      </c>
      <c r="N38" s="64">
        <v>24.347003999999998</v>
      </c>
      <c r="O38" s="64">
        <v>24.836378</v>
      </c>
      <c r="P38" s="64">
        <v>25.216825</v>
      </c>
      <c r="Q38" s="64">
        <v>23.869700999999999</v>
      </c>
      <c r="R38" s="64">
        <v>23.867312999999999</v>
      </c>
      <c r="S38" s="64">
        <v>23.626277999999999</v>
      </c>
      <c r="T38" s="64">
        <v>24.575958</v>
      </c>
      <c r="U38" s="64">
        <v>23.836296000000001</v>
      </c>
      <c r="V38" s="64">
        <v>24.796900000000001</v>
      </c>
      <c r="W38" s="64">
        <v>24.546474</v>
      </c>
      <c r="X38" s="64">
        <v>24.547212999999999</v>
      </c>
      <c r="Y38" s="64">
        <v>24.653110999999999</v>
      </c>
      <c r="Z38" s="64">
        <v>24.669187999999998</v>
      </c>
      <c r="AA38" s="64">
        <v>24.686603999999999</v>
      </c>
      <c r="AB38" s="64">
        <v>24.679790000000001</v>
      </c>
      <c r="AC38" s="64">
        <v>24.613333000000001</v>
      </c>
      <c r="AD38" s="64">
        <v>24.542484000000002</v>
      </c>
      <c r="AE38" s="64">
        <v>24.657187</v>
      </c>
      <c r="AF38" s="64">
        <v>24.584092999999999</v>
      </c>
      <c r="AG38" s="64">
        <v>24.286394000000001</v>
      </c>
      <c r="AH38" s="64">
        <v>24.203818999999999</v>
      </c>
      <c r="AI38" s="64">
        <v>24.247038</v>
      </c>
      <c r="AJ38" s="64">
        <v>24.592441999999998</v>
      </c>
      <c r="AK38" s="64">
        <v>24.591463000000001</v>
      </c>
      <c r="AL38" s="13">
        <v>4.7070000000000002E-3</v>
      </c>
    </row>
    <row r="39" spans="1:38" ht="15" customHeight="1" x14ac:dyDescent="0.25">
      <c r="A39" s="7" t="s">
        <v>1790</v>
      </c>
      <c r="B39" s="11" t="s">
        <v>1791</v>
      </c>
      <c r="C39" s="64">
        <v>10.493586000000001</v>
      </c>
      <c r="D39" s="64">
        <v>9.6566290000000006</v>
      </c>
      <c r="E39" s="64">
        <v>11.004263</v>
      </c>
      <c r="F39" s="64">
        <v>11.723515000000001</v>
      </c>
      <c r="G39" s="64">
        <v>9.2504030000000004</v>
      </c>
      <c r="H39" s="64">
        <v>7.7606400000000004</v>
      </c>
      <c r="I39" s="64">
        <v>7.3802909999999997</v>
      </c>
      <c r="J39" s="64">
        <v>7.0185839999999997</v>
      </c>
      <c r="K39" s="64">
        <v>9.1367189999999994</v>
      </c>
      <c r="L39" s="64">
        <v>9.1313099999999991</v>
      </c>
      <c r="M39" s="64">
        <v>9.6864380000000008</v>
      </c>
      <c r="N39" s="64">
        <v>9.7833020000000008</v>
      </c>
      <c r="O39" s="64">
        <v>9.6835319999999996</v>
      </c>
      <c r="P39" s="64">
        <v>9.4912229999999997</v>
      </c>
      <c r="Q39" s="64">
        <v>9.6772329999999993</v>
      </c>
      <c r="R39" s="64">
        <v>9.6752970000000005</v>
      </c>
      <c r="S39" s="64">
        <v>9.4827589999999997</v>
      </c>
      <c r="T39" s="64">
        <v>9.7662650000000006</v>
      </c>
      <c r="U39" s="64">
        <v>9.4761959999999998</v>
      </c>
      <c r="V39" s="64">
        <v>9.8282380000000007</v>
      </c>
      <c r="W39" s="64">
        <v>9.7289840000000005</v>
      </c>
      <c r="X39" s="64">
        <v>9.6368369999999999</v>
      </c>
      <c r="Y39" s="64">
        <v>9.5763069999999999</v>
      </c>
      <c r="Z39" s="64">
        <v>9.6086749999999999</v>
      </c>
      <c r="AA39" s="64">
        <v>9.5116379999999996</v>
      </c>
      <c r="AB39" s="64">
        <v>9.5435920000000003</v>
      </c>
      <c r="AC39" s="64">
        <v>9.4699939999999998</v>
      </c>
      <c r="AD39" s="64">
        <v>9.4146599999999996</v>
      </c>
      <c r="AE39" s="64">
        <v>9.4224209999999999</v>
      </c>
      <c r="AF39" s="64">
        <v>9.4072189999999996</v>
      </c>
      <c r="AG39" s="64">
        <v>9.141159</v>
      </c>
      <c r="AH39" s="64">
        <v>9.0667100000000005</v>
      </c>
      <c r="AI39" s="64">
        <v>9.1528709999999993</v>
      </c>
      <c r="AJ39" s="64">
        <v>9.2827179999999991</v>
      </c>
      <c r="AK39" s="64">
        <v>9.2783549999999995</v>
      </c>
      <c r="AL39" s="13">
        <v>-1.2099999999999999E-3</v>
      </c>
    </row>
    <row r="41" spans="1:38" ht="15" customHeight="1" x14ac:dyDescent="0.25">
      <c r="A41" s="7" t="s">
        <v>1792</v>
      </c>
      <c r="B41" s="10" t="s">
        <v>256</v>
      </c>
      <c r="C41" s="140">
        <v>27.847652</v>
      </c>
      <c r="D41" s="140">
        <v>27.488299999999999</v>
      </c>
      <c r="E41" s="140">
        <v>27.709987999999999</v>
      </c>
      <c r="F41" s="140">
        <v>27.376469</v>
      </c>
      <c r="G41" s="140">
        <v>24.634250999999999</v>
      </c>
      <c r="H41" s="140">
        <v>24.542573999999998</v>
      </c>
      <c r="I41" s="140">
        <v>24.545528000000001</v>
      </c>
      <c r="J41" s="140">
        <v>24.685417000000001</v>
      </c>
      <c r="K41" s="140">
        <v>24.626076000000001</v>
      </c>
      <c r="L41" s="140">
        <v>24.912431999999999</v>
      </c>
      <c r="M41" s="140">
        <v>25.131364999999999</v>
      </c>
      <c r="N41" s="140">
        <v>25.275219</v>
      </c>
      <c r="O41" s="140">
        <v>25.532133000000002</v>
      </c>
      <c r="P41" s="140">
        <v>25.562635</v>
      </c>
      <c r="Q41" s="140">
        <v>25.313272000000001</v>
      </c>
      <c r="R41" s="140">
        <v>25.166879999999999</v>
      </c>
      <c r="S41" s="140">
        <v>25.047176</v>
      </c>
      <c r="T41" s="140">
        <v>25.036783</v>
      </c>
      <c r="U41" s="140">
        <v>25.255700999999998</v>
      </c>
      <c r="V41" s="140">
        <v>25.392634999999999</v>
      </c>
      <c r="W41" s="140">
        <v>25.362390999999999</v>
      </c>
      <c r="X41" s="140">
        <v>25.697331999999999</v>
      </c>
      <c r="Y41" s="140">
        <v>25.744105999999999</v>
      </c>
      <c r="Z41" s="140">
        <v>25.757061</v>
      </c>
      <c r="AA41" s="140">
        <v>25.691911999999999</v>
      </c>
      <c r="AB41" s="140">
        <v>25.624866000000001</v>
      </c>
      <c r="AC41" s="140">
        <v>25.506689000000001</v>
      </c>
      <c r="AD41" s="140">
        <v>25.665026000000001</v>
      </c>
      <c r="AE41" s="140">
        <v>25.616969999999998</v>
      </c>
      <c r="AF41" s="140">
        <v>25.409040000000001</v>
      </c>
      <c r="AG41" s="140">
        <v>25.346302000000001</v>
      </c>
      <c r="AH41" s="140">
        <v>25.515270000000001</v>
      </c>
      <c r="AI41" s="140">
        <v>25.563175000000001</v>
      </c>
      <c r="AJ41" s="140">
        <v>25.697308</v>
      </c>
      <c r="AK41" s="140">
        <v>25.419201000000001</v>
      </c>
      <c r="AL41" s="15">
        <v>-2.369E-3</v>
      </c>
    </row>
    <row r="43" spans="1:38" ht="15" customHeight="1" x14ac:dyDescent="0.25">
      <c r="A43" s="7" t="s">
        <v>1793</v>
      </c>
      <c r="B43" s="10" t="s">
        <v>257</v>
      </c>
      <c r="C43" s="140">
        <v>35.291809000000001</v>
      </c>
      <c r="D43" s="140">
        <v>34.865211000000002</v>
      </c>
      <c r="E43" s="140">
        <v>36.606566999999998</v>
      </c>
      <c r="F43" s="140">
        <v>34.774948000000002</v>
      </c>
      <c r="G43" s="140">
        <v>29.140072</v>
      </c>
      <c r="H43" s="140">
        <v>29.379456000000001</v>
      </c>
      <c r="I43" s="140">
        <v>30.488613000000001</v>
      </c>
      <c r="J43" s="140">
        <v>31.263650999999999</v>
      </c>
      <c r="K43" s="140">
        <v>35.402518999999998</v>
      </c>
      <c r="L43" s="140">
        <v>33.643599999999999</v>
      </c>
      <c r="M43" s="140">
        <v>32.536113999999998</v>
      </c>
      <c r="N43" s="140">
        <v>31.614014000000001</v>
      </c>
      <c r="O43" s="140">
        <v>29.672564999999999</v>
      </c>
      <c r="P43" s="140">
        <v>29.020050000000001</v>
      </c>
      <c r="Q43" s="140">
        <v>27.177932999999999</v>
      </c>
      <c r="R43" s="140">
        <v>26.600275</v>
      </c>
      <c r="S43" s="140">
        <v>28.203064000000001</v>
      </c>
      <c r="T43" s="140">
        <v>28.312664000000002</v>
      </c>
      <c r="U43" s="140">
        <v>29.716799000000002</v>
      </c>
      <c r="V43" s="140">
        <v>30.457176</v>
      </c>
      <c r="W43" s="140">
        <v>30.206562000000002</v>
      </c>
      <c r="X43" s="140">
        <v>29.058025000000001</v>
      </c>
      <c r="Y43" s="140">
        <v>29.011219000000001</v>
      </c>
      <c r="Z43" s="140">
        <v>28.004937999999999</v>
      </c>
      <c r="AA43" s="140">
        <v>26.861584000000001</v>
      </c>
      <c r="AB43" s="140">
        <v>27.341061</v>
      </c>
      <c r="AC43" s="140">
        <v>27.850279</v>
      </c>
      <c r="AD43" s="140">
        <v>26.531013000000002</v>
      </c>
      <c r="AE43" s="140">
        <v>25.277056000000002</v>
      </c>
      <c r="AF43" s="140">
        <v>24.081900000000001</v>
      </c>
      <c r="AG43" s="140">
        <v>24.739771000000001</v>
      </c>
      <c r="AH43" s="140">
        <v>25.701312999999999</v>
      </c>
      <c r="AI43" s="140">
        <v>25.578776999999999</v>
      </c>
      <c r="AJ43" s="140">
        <v>24.996224999999999</v>
      </c>
      <c r="AK43" s="140">
        <v>24.432307999999999</v>
      </c>
      <c r="AL43" s="15">
        <v>-1.0717000000000001E-2</v>
      </c>
    </row>
    <row r="44" spans="1:38" ht="15" customHeight="1" x14ac:dyDescent="0.25">
      <c r="A44" s="7" t="s">
        <v>1794</v>
      </c>
      <c r="B44" s="11" t="s">
        <v>1775</v>
      </c>
      <c r="C44" s="64">
        <v>0.34141500000000002</v>
      </c>
      <c r="D44" s="64">
        <v>0.37555699999999997</v>
      </c>
      <c r="E44" s="64">
        <v>0.41311199999999998</v>
      </c>
      <c r="F44" s="64">
        <v>0.45442399999999999</v>
      </c>
      <c r="G44" s="64">
        <v>0.49986599999999998</v>
      </c>
      <c r="H44" s="64">
        <v>0.54985200000000001</v>
      </c>
      <c r="I44" s="64">
        <v>0.60483799999999999</v>
      </c>
      <c r="J44" s="64">
        <v>0.66532199999999997</v>
      </c>
      <c r="K44" s="64">
        <v>0.731854</v>
      </c>
      <c r="L44" s="64">
        <v>0.80503899999999995</v>
      </c>
      <c r="M44" s="64">
        <v>0.88554299999999997</v>
      </c>
      <c r="N44" s="64">
        <v>0.96133400000000002</v>
      </c>
      <c r="O44" s="64">
        <v>0.93497799999999998</v>
      </c>
      <c r="P44" s="64">
        <v>0.94801000000000002</v>
      </c>
      <c r="Q44" s="64">
        <v>0.92679400000000001</v>
      </c>
      <c r="R44" s="64">
        <v>0.92594799999999999</v>
      </c>
      <c r="S44" s="64">
        <v>0.92565299999999995</v>
      </c>
      <c r="T44" s="64">
        <v>0.92635299999999998</v>
      </c>
      <c r="U44" s="64">
        <v>0.92743100000000001</v>
      </c>
      <c r="V44" s="64">
        <v>0.92655299999999996</v>
      </c>
      <c r="W44" s="64">
        <v>0.93085799999999996</v>
      </c>
      <c r="X44" s="64">
        <v>0.93703899999999996</v>
      </c>
      <c r="Y44" s="64">
        <v>0.93283300000000002</v>
      </c>
      <c r="Z44" s="64">
        <v>0.93302200000000002</v>
      </c>
      <c r="AA44" s="64">
        <v>0.92536499999999999</v>
      </c>
      <c r="AB44" s="64">
        <v>0.92958799999999997</v>
      </c>
      <c r="AC44" s="64">
        <v>0.92606500000000003</v>
      </c>
      <c r="AD44" s="64">
        <v>0.92635400000000001</v>
      </c>
      <c r="AE44" s="64">
        <v>0.92727999999999999</v>
      </c>
      <c r="AF44" s="64">
        <v>0.92550600000000005</v>
      </c>
      <c r="AG44" s="64">
        <v>0.91992200000000002</v>
      </c>
      <c r="AH44" s="64">
        <v>0.925539</v>
      </c>
      <c r="AI44" s="64">
        <v>0.92132099999999995</v>
      </c>
      <c r="AJ44" s="64">
        <v>0.91970099999999999</v>
      </c>
      <c r="AK44" s="64">
        <v>0.91676599999999997</v>
      </c>
      <c r="AL44" s="13">
        <v>2.7413E-2</v>
      </c>
    </row>
    <row r="45" spans="1:38" ht="15" customHeight="1" x14ac:dyDescent="0.25">
      <c r="A45" s="7" t="s">
        <v>1795</v>
      </c>
      <c r="B45" s="11" t="s">
        <v>1796</v>
      </c>
      <c r="C45" s="64">
        <v>19.256985</v>
      </c>
      <c r="D45" s="64">
        <v>20.604973000000001</v>
      </c>
      <c r="E45" s="64">
        <v>20.892042</v>
      </c>
      <c r="F45" s="64">
        <v>23.590634999999999</v>
      </c>
      <c r="G45" s="64">
        <v>18.43619</v>
      </c>
      <c r="H45" s="64">
        <v>19.125685000000001</v>
      </c>
      <c r="I45" s="64">
        <v>18.436800000000002</v>
      </c>
      <c r="J45" s="64">
        <v>19.492450999999999</v>
      </c>
      <c r="K45" s="64">
        <v>23.454847000000001</v>
      </c>
      <c r="L45" s="64">
        <v>22.168624999999999</v>
      </c>
      <c r="M45" s="64">
        <v>21.503567</v>
      </c>
      <c r="N45" s="64">
        <v>21.002979</v>
      </c>
      <c r="O45" s="64">
        <v>19.269017999999999</v>
      </c>
      <c r="P45" s="64">
        <v>18.509743</v>
      </c>
      <c r="Q45" s="64">
        <v>16.950962000000001</v>
      </c>
      <c r="R45" s="64">
        <v>16.283026</v>
      </c>
      <c r="S45" s="64">
        <v>18.346375999999999</v>
      </c>
      <c r="T45" s="64">
        <v>18.892987999999999</v>
      </c>
      <c r="U45" s="64">
        <v>18.392685</v>
      </c>
      <c r="V45" s="64">
        <v>18.567471999999999</v>
      </c>
      <c r="W45" s="64">
        <v>18.370913999999999</v>
      </c>
      <c r="X45" s="64">
        <v>17.117616999999999</v>
      </c>
      <c r="Y45" s="64">
        <v>17.152926999999998</v>
      </c>
      <c r="Z45" s="64">
        <v>16.312263000000002</v>
      </c>
      <c r="AA45" s="64">
        <v>16.145911999999999</v>
      </c>
      <c r="AB45" s="64">
        <v>16.626963</v>
      </c>
      <c r="AC45" s="64">
        <v>17.335374999999999</v>
      </c>
      <c r="AD45" s="64">
        <v>16.485769000000001</v>
      </c>
      <c r="AE45" s="64">
        <v>15.677802</v>
      </c>
      <c r="AF45" s="64">
        <v>14.909433</v>
      </c>
      <c r="AG45" s="64">
        <v>15.977071</v>
      </c>
      <c r="AH45" s="64">
        <v>16.620947000000001</v>
      </c>
      <c r="AI45" s="64">
        <v>16.127286999999999</v>
      </c>
      <c r="AJ45" s="64">
        <v>15.964418</v>
      </c>
      <c r="AK45" s="64">
        <v>15.645161999999999</v>
      </c>
      <c r="AL45" s="13">
        <v>-8.3099999999999997E-3</v>
      </c>
    </row>
    <row r="46" spans="1:38" ht="15" customHeight="1" x14ac:dyDescent="0.25">
      <c r="A46" s="7" t="s">
        <v>1797</v>
      </c>
      <c r="B46" s="11" t="s">
        <v>1798</v>
      </c>
      <c r="C46" s="64">
        <v>15.693407000000001</v>
      </c>
      <c r="D46" s="64">
        <v>13.884679999999999</v>
      </c>
      <c r="E46" s="64">
        <v>15.301413</v>
      </c>
      <c r="F46" s="64">
        <v>10.729887</v>
      </c>
      <c r="G46" s="64">
        <v>10.204015999999999</v>
      </c>
      <c r="H46" s="64">
        <v>9.7039179999999998</v>
      </c>
      <c r="I46" s="64">
        <v>11.446977</v>
      </c>
      <c r="J46" s="64">
        <v>11.105879</v>
      </c>
      <c r="K46" s="64">
        <v>11.215816</v>
      </c>
      <c r="L46" s="64">
        <v>10.669936999999999</v>
      </c>
      <c r="M46" s="64">
        <v>10.147004000000001</v>
      </c>
      <c r="N46" s="64">
        <v>9.649699</v>
      </c>
      <c r="O46" s="64">
        <v>9.4685679999999994</v>
      </c>
      <c r="P46" s="64">
        <v>9.5622969999999992</v>
      </c>
      <c r="Q46" s="64">
        <v>9.3001780000000007</v>
      </c>
      <c r="R46" s="64">
        <v>9.3912999999999993</v>
      </c>
      <c r="S46" s="64">
        <v>8.9310329999999993</v>
      </c>
      <c r="T46" s="64">
        <v>8.4933230000000002</v>
      </c>
      <c r="U46" s="64">
        <v>10.396682999999999</v>
      </c>
      <c r="V46" s="64">
        <v>10.963150000000001</v>
      </c>
      <c r="W46" s="64">
        <v>10.90479</v>
      </c>
      <c r="X46" s="64">
        <v>11.003371</v>
      </c>
      <c r="Y46" s="64">
        <v>10.925459</v>
      </c>
      <c r="Z46" s="64">
        <v>10.759653</v>
      </c>
      <c r="AA46" s="64">
        <v>9.790305</v>
      </c>
      <c r="AB46" s="64">
        <v>9.7845099999999992</v>
      </c>
      <c r="AC46" s="64">
        <v>9.5888390000000001</v>
      </c>
      <c r="AD46" s="64">
        <v>9.1188900000000004</v>
      </c>
      <c r="AE46" s="64">
        <v>8.6719740000000005</v>
      </c>
      <c r="AF46" s="64">
        <v>8.2469610000000007</v>
      </c>
      <c r="AG46" s="64">
        <v>7.842778</v>
      </c>
      <c r="AH46" s="64">
        <v>8.1548269999999992</v>
      </c>
      <c r="AI46" s="64">
        <v>8.5301690000000008</v>
      </c>
      <c r="AJ46" s="64">
        <v>8.1121060000000007</v>
      </c>
      <c r="AK46" s="64">
        <v>7.8703810000000001</v>
      </c>
      <c r="AL46" s="13">
        <v>-1.7055000000000001E-2</v>
      </c>
    </row>
    <row r="48" spans="1:38" ht="15" customHeight="1" x14ac:dyDescent="0.25">
      <c r="A48" s="7" t="s">
        <v>1799</v>
      </c>
      <c r="B48" s="10" t="s">
        <v>1800</v>
      </c>
      <c r="C48" s="140">
        <v>307.97567700000002</v>
      </c>
      <c r="D48" s="140">
        <v>315.63784800000002</v>
      </c>
      <c r="E48" s="140">
        <v>320.12933299999997</v>
      </c>
      <c r="F48" s="140">
        <v>288.875427</v>
      </c>
      <c r="G48" s="140">
        <v>283.07028200000002</v>
      </c>
      <c r="H48" s="140">
        <v>278.71752900000001</v>
      </c>
      <c r="I48" s="140">
        <v>265.37771600000002</v>
      </c>
      <c r="J48" s="140">
        <v>261.39321899999999</v>
      </c>
      <c r="K48" s="140">
        <v>279.26248199999998</v>
      </c>
      <c r="L48" s="140">
        <v>295.707581</v>
      </c>
      <c r="M48" s="140">
        <v>305.88269000000003</v>
      </c>
      <c r="N48" s="140">
        <v>308.30798299999998</v>
      </c>
      <c r="O48" s="140">
        <v>304.31442299999998</v>
      </c>
      <c r="P48" s="140">
        <v>306.659851</v>
      </c>
      <c r="Q48" s="140">
        <v>305.52072099999998</v>
      </c>
      <c r="R48" s="140">
        <v>301.64584400000001</v>
      </c>
      <c r="S48" s="140">
        <v>301.00262500000002</v>
      </c>
      <c r="T48" s="140">
        <v>293.29339599999997</v>
      </c>
      <c r="U48" s="140">
        <v>290.435608</v>
      </c>
      <c r="V48" s="140">
        <v>281.764343</v>
      </c>
      <c r="W48" s="140">
        <v>286.211884</v>
      </c>
      <c r="X48" s="140">
        <v>281.821777</v>
      </c>
      <c r="Y48" s="140">
        <v>283.265533</v>
      </c>
      <c r="Z48" s="140">
        <v>277.783661</v>
      </c>
      <c r="AA48" s="140">
        <v>275.28653000000003</v>
      </c>
      <c r="AB48" s="140">
        <v>273.915009</v>
      </c>
      <c r="AC48" s="140">
        <v>270.92721599999999</v>
      </c>
      <c r="AD48" s="140">
        <v>273.67251599999997</v>
      </c>
      <c r="AE48" s="140">
        <v>280.53692599999999</v>
      </c>
      <c r="AF48" s="140">
        <v>281.96807899999999</v>
      </c>
      <c r="AG48" s="140">
        <v>276.739868</v>
      </c>
      <c r="AH48" s="140">
        <v>274.27539100000001</v>
      </c>
      <c r="AI48" s="140">
        <v>272.48757899999998</v>
      </c>
      <c r="AJ48" s="140">
        <v>277.90646400000003</v>
      </c>
      <c r="AK48" s="140">
        <v>279.40234400000003</v>
      </c>
      <c r="AL48" s="15">
        <v>-3.6879999999999999E-3</v>
      </c>
    </row>
    <row r="49" spans="1:38" ht="15" customHeight="1" x14ac:dyDescent="0.25">
      <c r="A49" s="7" t="s">
        <v>1801</v>
      </c>
      <c r="B49" s="11" t="s">
        <v>1796</v>
      </c>
      <c r="C49" s="64">
        <v>305.94220000000001</v>
      </c>
      <c r="D49" s="64">
        <v>313.57605000000001</v>
      </c>
      <c r="E49" s="64">
        <v>317.80120799999997</v>
      </c>
      <c r="F49" s="64">
        <v>286.99731400000002</v>
      </c>
      <c r="G49" s="64">
        <v>281.75329599999998</v>
      </c>
      <c r="H49" s="64">
        <v>277.46508799999998</v>
      </c>
      <c r="I49" s="64">
        <v>264.186646</v>
      </c>
      <c r="J49" s="64">
        <v>260.26052900000002</v>
      </c>
      <c r="K49" s="64">
        <v>278.18530299999998</v>
      </c>
      <c r="L49" s="64">
        <v>294.109802</v>
      </c>
      <c r="M49" s="64">
        <v>304.26910400000003</v>
      </c>
      <c r="N49" s="64">
        <v>306.678406</v>
      </c>
      <c r="O49" s="64">
        <v>302.684845</v>
      </c>
      <c r="P49" s="64">
        <v>305.03027300000002</v>
      </c>
      <c r="Q49" s="64">
        <v>303.87503099999998</v>
      </c>
      <c r="R49" s="64">
        <v>300.04968300000002</v>
      </c>
      <c r="S49" s="64">
        <v>299.48516799999999</v>
      </c>
      <c r="T49" s="64">
        <v>291.85031099999998</v>
      </c>
      <c r="U49" s="64">
        <v>289.423676</v>
      </c>
      <c r="V49" s="64">
        <v>280.80200200000002</v>
      </c>
      <c r="W49" s="64">
        <v>285.29669200000001</v>
      </c>
      <c r="X49" s="64">
        <v>280.95144699999997</v>
      </c>
      <c r="Y49" s="64">
        <v>282.43786599999999</v>
      </c>
      <c r="Z49" s="64">
        <v>276.99655200000001</v>
      </c>
      <c r="AA49" s="64">
        <v>274.53799400000003</v>
      </c>
      <c r="AB49" s="64">
        <v>272.957672</v>
      </c>
      <c r="AC49" s="64">
        <v>269.99841300000003</v>
      </c>
      <c r="AD49" s="64">
        <v>272.78924599999999</v>
      </c>
      <c r="AE49" s="64">
        <v>279.56500199999999</v>
      </c>
      <c r="AF49" s="64">
        <v>280.937073</v>
      </c>
      <c r="AG49" s="64">
        <v>275.73947099999998</v>
      </c>
      <c r="AH49" s="64">
        <v>273.31442299999998</v>
      </c>
      <c r="AI49" s="64">
        <v>271.55523699999998</v>
      </c>
      <c r="AJ49" s="64">
        <v>276.97430400000002</v>
      </c>
      <c r="AK49" s="64">
        <v>278.44241299999999</v>
      </c>
      <c r="AL49" s="13">
        <v>-3.594E-3</v>
      </c>
    </row>
    <row r="50" spans="1:38" ht="15" customHeight="1" x14ac:dyDescent="0.25">
      <c r="A50" s="7" t="s">
        <v>1802</v>
      </c>
      <c r="B50" s="11" t="s">
        <v>1798</v>
      </c>
      <c r="C50" s="64">
        <v>2.0334780000000001</v>
      </c>
      <c r="D50" s="64">
        <v>2.0618089999999998</v>
      </c>
      <c r="E50" s="64">
        <v>2.3281290000000001</v>
      </c>
      <c r="F50" s="64">
        <v>1.8781140000000001</v>
      </c>
      <c r="G50" s="64">
        <v>1.316999</v>
      </c>
      <c r="H50" s="64">
        <v>1.252453</v>
      </c>
      <c r="I50" s="64">
        <v>1.1910700000000001</v>
      </c>
      <c r="J50" s="64">
        <v>1.1326959999999999</v>
      </c>
      <c r="K50" s="64">
        <v>1.077183</v>
      </c>
      <c r="L50" s="64">
        <v>1.597774</v>
      </c>
      <c r="M50" s="64">
        <v>1.613591</v>
      </c>
      <c r="N50" s="64">
        <v>1.629564</v>
      </c>
      <c r="O50" s="64">
        <v>1.629564</v>
      </c>
      <c r="P50" s="64">
        <v>1.629564</v>
      </c>
      <c r="Q50" s="64">
        <v>1.645678</v>
      </c>
      <c r="R50" s="64">
        <v>1.5961479999999999</v>
      </c>
      <c r="S50" s="64">
        <v>1.5174529999999999</v>
      </c>
      <c r="T50" s="64">
        <v>1.4430829999999999</v>
      </c>
      <c r="U50" s="64">
        <v>1.0119400000000001</v>
      </c>
      <c r="V50" s="64">
        <v>0.96234500000000001</v>
      </c>
      <c r="W50" s="64">
        <v>0.91518100000000002</v>
      </c>
      <c r="X50" s="64">
        <v>0.87032799999999999</v>
      </c>
      <c r="Y50" s="64">
        <v>0.82767299999999999</v>
      </c>
      <c r="Z50" s="64">
        <v>0.78710899999999995</v>
      </c>
      <c r="AA50" s="64">
        <v>0.74853199999999998</v>
      </c>
      <c r="AB50" s="64">
        <v>0.95732799999999996</v>
      </c>
      <c r="AC50" s="64">
        <v>0.92880099999999999</v>
      </c>
      <c r="AD50" s="64">
        <v>0.88328099999999998</v>
      </c>
      <c r="AE50" s="64">
        <v>0.97192500000000004</v>
      </c>
      <c r="AF50" s="64">
        <v>1.031012</v>
      </c>
      <c r="AG50" s="64">
        <v>1.0003899999999999</v>
      </c>
      <c r="AH50" s="64">
        <v>0.96097100000000002</v>
      </c>
      <c r="AI50" s="64">
        <v>0.93233600000000005</v>
      </c>
      <c r="AJ50" s="64">
        <v>0.93214900000000001</v>
      </c>
      <c r="AK50" s="64">
        <v>0.95992200000000005</v>
      </c>
      <c r="AL50" s="13">
        <v>-2.29E-2</v>
      </c>
    </row>
    <row r="52" spans="1:38" ht="15" customHeight="1" x14ac:dyDescent="0.25">
      <c r="A52" s="7" t="s">
        <v>1803</v>
      </c>
      <c r="B52" s="10" t="s">
        <v>258</v>
      </c>
      <c r="C52" s="140">
        <v>3.7204229999999998</v>
      </c>
      <c r="D52" s="140">
        <v>3.4581200000000001</v>
      </c>
      <c r="E52" s="140">
        <v>3.591888</v>
      </c>
      <c r="F52" s="140">
        <v>3.6529189999999998</v>
      </c>
      <c r="G52" s="140">
        <v>3.7599049999999998</v>
      </c>
      <c r="H52" s="140">
        <v>3.795976</v>
      </c>
      <c r="I52" s="140">
        <v>3.828964</v>
      </c>
      <c r="J52" s="140">
        <v>3.8629250000000002</v>
      </c>
      <c r="K52" s="140">
        <v>3.8962349999999999</v>
      </c>
      <c r="L52" s="140">
        <v>3.8897309999999998</v>
      </c>
      <c r="M52" s="140">
        <v>3.8760729999999999</v>
      </c>
      <c r="N52" s="140">
        <v>3.8542459999999998</v>
      </c>
      <c r="O52" s="140">
        <v>3.8304200000000002</v>
      </c>
      <c r="P52" s="140">
        <v>3.7847740000000001</v>
      </c>
      <c r="Q52" s="140">
        <v>3.7474699999999999</v>
      </c>
      <c r="R52" s="140">
        <v>3.7178070000000001</v>
      </c>
      <c r="S52" s="140">
        <v>3.6788630000000002</v>
      </c>
      <c r="T52" s="140">
        <v>3.6466750000000001</v>
      </c>
      <c r="U52" s="140">
        <v>3.6215000000000002</v>
      </c>
      <c r="V52" s="140">
        <v>3.5918730000000001</v>
      </c>
      <c r="W52" s="140">
        <v>3.5940240000000001</v>
      </c>
      <c r="X52" s="140">
        <v>3.5916459999999999</v>
      </c>
      <c r="Y52" s="140">
        <v>3.596155</v>
      </c>
      <c r="Z52" s="140">
        <v>3.5948739999999999</v>
      </c>
      <c r="AA52" s="140">
        <v>3.5994220000000001</v>
      </c>
      <c r="AB52" s="140">
        <v>3.6067990000000001</v>
      </c>
      <c r="AC52" s="140">
        <v>3.6101390000000002</v>
      </c>
      <c r="AD52" s="140">
        <v>3.6135649999999999</v>
      </c>
      <c r="AE52" s="140">
        <v>3.6181580000000002</v>
      </c>
      <c r="AF52" s="140">
        <v>3.6267930000000002</v>
      </c>
      <c r="AG52" s="140">
        <v>3.6348240000000001</v>
      </c>
      <c r="AH52" s="140">
        <v>3.6420430000000001</v>
      </c>
      <c r="AI52" s="140">
        <v>3.6495030000000002</v>
      </c>
      <c r="AJ52" s="140">
        <v>3.653616</v>
      </c>
      <c r="AK52" s="140">
        <v>3.6582319999999999</v>
      </c>
      <c r="AL52" s="15">
        <v>1.7060000000000001E-3</v>
      </c>
    </row>
    <row r="53" spans="1:38" ht="15" customHeight="1" x14ac:dyDescent="0.25">
      <c r="A53" s="7" t="s">
        <v>1804</v>
      </c>
      <c r="B53" s="11" t="s">
        <v>1796</v>
      </c>
      <c r="C53" s="64">
        <v>2.4794900000000002</v>
      </c>
      <c r="D53" s="64">
        <v>2.3132869999999999</v>
      </c>
      <c r="E53" s="64">
        <v>2.3981720000000002</v>
      </c>
      <c r="F53" s="64">
        <v>2.4199480000000002</v>
      </c>
      <c r="G53" s="64">
        <v>2.4941589999999998</v>
      </c>
      <c r="H53" s="64">
        <v>2.5157759999999998</v>
      </c>
      <c r="I53" s="64">
        <v>2.5358540000000001</v>
      </c>
      <c r="J53" s="64">
        <v>2.5589750000000002</v>
      </c>
      <c r="K53" s="64">
        <v>2.5815869999999999</v>
      </c>
      <c r="L53" s="64">
        <v>2.5783510000000001</v>
      </c>
      <c r="M53" s="64">
        <v>2.570106</v>
      </c>
      <c r="N53" s="64">
        <v>2.55884</v>
      </c>
      <c r="O53" s="64">
        <v>2.5461860000000001</v>
      </c>
      <c r="P53" s="64">
        <v>2.5176919999999998</v>
      </c>
      <c r="Q53" s="64">
        <v>2.496496</v>
      </c>
      <c r="R53" s="64">
        <v>2.4796320000000001</v>
      </c>
      <c r="S53" s="64">
        <v>2.4566460000000001</v>
      </c>
      <c r="T53" s="64">
        <v>2.4372250000000002</v>
      </c>
      <c r="U53" s="64">
        <v>2.4215559999999998</v>
      </c>
      <c r="V53" s="64">
        <v>2.4035730000000002</v>
      </c>
      <c r="W53" s="64">
        <v>2.40524</v>
      </c>
      <c r="X53" s="64">
        <v>2.4027660000000002</v>
      </c>
      <c r="Y53" s="64">
        <v>2.403362</v>
      </c>
      <c r="Z53" s="64">
        <v>2.3999980000000001</v>
      </c>
      <c r="AA53" s="64">
        <v>2.4011629999999999</v>
      </c>
      <c r="AB53" s="64">
        <v>2.4040759999999999</v>
      </c>
      <c r="AC53" s="64">
        <v>2.405097</v>
      </c>
      <c r="AD53" s="64">
        <v>2.4048729999999998</v>
      </c>
      <c r="AE53" s="64">
        <v>2.4051819999999999</v>
      </c>
      <c r="AF53" s="64">
        <v>2.4083730000000001</v>
      </c>
      <c r="AG53" s="64">
        <v>2.4109319999999999</v>
      </c>
      <c r="AH53" s="64">
        <v>2.4135559999999998</v>
      </c>
      <c r="AI53" s="64">
        <v>2.416852</v>
      </c>
      <c r="AJ53" s="64">
        <v>2.4173740000000001</v>
      </c>
      <c r="AK53" s="64">
        <v>2.4179360000000001</v>
      </c>
      <c r="AL53" s="13">
        <v>1.3420000000000001E-3</v>
      </c>
    </row>
    <row r="54" spans="1:38" ht="15" customHeight="1" x14ac:dyDescent="0.25">
      <c r="A54" s="7" t="s">
        <v>1805</v>
      </c>
      <c r="B54" s="11" t="s">
        <v>1798</v>
      </c>
      <c r="C54" s="64">
        <v>1.2409330000000001</v>
      </c>
      <c r="D54" s="64">
        <v>1.144833</v>
      </c>
      <c r="E54" s="64">
        <v>1.1937150000000001</v>
      </c>
      <c r="F54" s="64">
        <v>1.232971</v>
      </c>
      <c r="G54" s="64">
        <v>1.265746</v>
      </c>
      <c r="H54" s="64">
        <v>1.2802</v>
      </c>
      <c r="I54" s="64">
        <v>1.29311</v>
      </c>
      <c r="J54" s="64">
        <v>1.3039499999999999</v>
      </c>
      <c r="K54" s="64">
        <v>1.314648</v>
      </c>
      <c r="L54" s="64">
        <v>1.31138</v>
      </c>
      <c r="M54" s="64">
        <v>1.3059670000000001</v>
      </c>
      <c r="N54" s="64">
        <v>1.2954060000000001</v>
      </c>
      <c r="O54" s="64">
        <v>1.284233</v>
      </c>
      <c r="P54" s="64">
        <v>1.267082</v>
      </c>
      <c r="Q54" s="64">
        <v>1.250974</v>
      </c>
      <c r="R54" s="64">
        <v>1.238175</v>
      </c>
      <c r="S54" s="64">
        <v>1.222216</v>
      </c>
      <c r="T54" s="64">
        <v>1.2094499999999999</v>
      </c>
      <c r="U54" s="64">
        <v>1.1999439999999999</v>
      </c>
      <c r="V54" s="64">
        <v>1.1882999999999999</v>
      </c>
      <c r="W54" s="64">
        <v>1.1887840000000001</v>
      </c>
      <c r="X54" s="64">
        <v>1.1888799999999999</v>
      </c>
      <c r="Y54" s="64">
        <v>1.192793</v>
      </c>
      <c r="Z54" s="64">
        <v>1.194876</v>
      </c>
      <c r="AA54" s="64">
        <v>1.198259</v>
      </c>
      <c r="AB54" s="64">
        <v>1.202723</v>
      </c>
      <c r="AC54" s="64">
        <v>1.2050419999999999</v>
      </c>
      <c r="AD54" s="64">
        <v>1.2086920000000001</v>
      </c>
      <c r="AE54" s="64">
        <v>1.2129760000000001</v>
      </c>
      <c r="AF54" s="64">
        <v>1.2184200000000001</v>
      </c>
      <c r="AG54" s="64">
        <v>1.223892</v>
      </c>
      <c r="AH54" s="64">
        <v>1.2284870000000001</v>
      </c>
      <c r="AI54" s="64">
        <v>1.2326509999999999</v>
      </c>
      <c r="AJ54" s="64">
        <v>1.2362420000000001</v>
      </c>
      <c r="AK54" s="64">
        <v>1.2402949999999999</v>
      </c>
      <c r="AL54" s="13">
        <v>2.4299999999999999E-3</v>
      </c>
    </row>
    <row r="57" spans="1:38" ht="15" customHeight="1" x14ac:dyDescent="0.25">
      <c r="A57" s="7" t="s">
        <v>1806</v>
      </c>
      <c r="B57" s="10" t="s">
        <v>259</v>
      </c>
      <c r="C57" s="140">
        <v>23.445471000000001</v>
      </c>
      <c r="D57" s="140">
        <v>25.673114999999999</v>
      </c>
      <c r="E57" s="140">
        <v>25.150358000000001</v>
      </c>
      <c r="F57" s="140">
        <v>22.795496</v>
      </c>
      <c r="G57" s="140">
        <v>24.788005999999999</v>
      </c>
      <c r="H57" s="140">
        <v>21.606304000000002</v>
      </c>
      <c r="I57" s="140">
        <v>18.303963</v>
      </c>
      <c r="J57" s="140">
        <v>17.093456</v>
      </c>
      <c r="K57" s="140">
        <v>15.576105999999999</v>
      </c>
      <c r="L57" s="140">
        <v>13.423142</v>
      </c>
      <c r="M57" s="140">
        <v>11.200634000000001</v>
      </c>
      <c r="N57" s="140">
        <v>8.5617389999999993</v>
      </c>
      <c r="O57" s="140">
        <v>7.3582150000000004</v>
      </c>
      <c r="P57" s="140">
        <v>7.0274049999999999</v>
      </c>
      <c r="Q57" s="140">
        <v>7.0506120000000001</v>
      </c>
      <c r="R57" s="140">
        <v>7.100784</v>
      </c>
      <c r="S57" s="140">
        <v>7.1416740000000001</v>
      </c>
      <c r="T57" s="140">
        <v>7.1975870000000004</v>
      </c>
      <c r="U57" s="140">
        <v>7.0953840000000001</v>
      </c>
      <c r="V57" s="140">
        <v>7.1534589999999998</v>
      </c>
      <c r="W57" s="140">
        <v>7.2628209999999997</v>
      </c>
      <c r="X57" s="140">
        <v>7.6254109999999997</v>
      </c>
      <c r="Y57" s="140">
        <v>8.0930339999999994</v>
      </c>
      <c r="Z57" s="140">
        <v>8.6049919999999993</v>
      </c>
      <c r="AA57" s="140">
        <v>10.806431999999999</v>
      </c>
      <c r="AB57" s="140">
        <v>11.454234</v>
      </c>
      <c r="AC57" s="140">
        <v>12.006895</v>
      </c>
      <c r="AD57" s="140">
        <v>12.344010000000001</v>
      </c>
      <c r="AE57" s="140">
        <v>9.1455749999999991</v>
      </c>
      <c r="AF57" s="140">
        <v>9.1571320000000007</v>
      </c>
      <c r="AG57" s="140">
        <v>10.164315999999999</v>
      </c>
      <c r="AH57" s="140">
        <v>10.278661</v>
      </c>
      <c r="AI57" s="140">
        <v>10.450499000000001</v>
      </c>
      <c r="AJ57" s="140">
        <v>10.448475</v>
      </c>
      <c r="AK57" s="140">
        <v>10.578258999999999</v>
      </c>
      <c r="AL57" s="15">
        <v>-2.6509999999999999E-2</v>
      </c>
    </row>
    <row r="58" spans="1:38" ht="15" customHeight="1" x14ac:dyDescent="0.25">
      <c r="A58" s="7" t="s">
        <v>1807</v>
      </c>
      <c r="B58" s="11" t="s">
        <v>1779</v>
      </c>
      <c r="C58" s="64">
        <v>8.6600000000000002E-4</v>
      </c>
      <c r="D58" s="64">
        <v>7.5030000000000001E-3</v>
      </c>
      <c r="E58" s="64">
        <v>6.4985000000000001E-2</v>
      </c>
      <c r="F58" s="64">
        <v>0.248276</v>
      </c>
      <c r="G58" s="64">
        <v>0.20599000000000001</v>
      </c>
      <c r="H58" s="64">
        <v>0.191523</v>
      </c>
      <c r="I58" s="64">
        <v>0.166075</v>
      </c>
      <c r="J58" s="64">
        <v>0.15022099999999999</v>
      </c>
      <c r="K58" s="64">
        <v>0.13009599999999999</v>
      </c>
      <c r="L58" s="64">
        <v>0.112041</v>
      </c>
      <c r="M58" s="64">
        <v>8.5966000000000001E-2</v>
      </c>
      <c r="N58" s="64">
        <v>5.6996999999999999E-2</v>
      </c>
      <c r="O58" s="64">
        <v>2.4924999999999999E-2</v>
      </c>
      <c r="P58" s="64">
        <v>2.6179999999999998E-2</v>
      </c>
      <c r="Q58" s="64">
        <v>2.7505000000000002E-2</v>
      </c>
      <c r="R58" s="64">
        <v>2.8864000000000001E-2</v>
      </c>
      <c r="S58" s="64">
        <v>3.0294000000000001E-2</v>
      </c>
      <c r="T58" s="64">
        <v>3.1828000000000002E-2</v>
      </c>
      <c r="U58" s="64">
        <v>3.0224000000000001E-2</v>
      </c>
      <c r="V58" s="64">
        <v>3.1723000000000001E-2</v>
      </c>
      <c r="W58" s="64">
        <v>3.3327000000000002E-2</v>
      </c>
      <c r="X58" s="64">
        <v>0.288665</v>
      </c>
      <c r="Y58" s="64">
        <v>0.63292499999999996</v>
      </c>
      <c r="Z58" s="64">
        <v>0.66454299999999999</v>
      </c>
      <c r="AA58" s="64">
        <v>0.69776499999999997</v>
      </c>
      <c r="AB58" s="64">
        <v>0.73102199999999995</v>
      </c>
      <c r="AC58" s="64">
        <v>0.73102199999999995</v>
      </c>
      <c r="AD58" s="64">
        <v>0.73102199999999995</v>
      </c>
      <c r="AE58" s="64">
        <v>0.70901999999999998</v>
      </c>
      <c r="AF58" s="64">
        <v>0.49719000000000002</v>
      </c>
      <c r="AG58" s="64">
        <v>0.47282299999999999</v>
      </c>
      <c r="AH58" s="64">
        <v>0.49506899999999998</v>
      </c>
      <c r="AI58" s="64">
        <v>0.66476400000000002</v>
      </c>
      <c r="AJ58" s="64">
        <v>0.66469800000000001</v>
      </c>
      <c r="AK58" s="64">
        <v>0.59882599999999997</v>
      </c>
      <c r="AL58" s="13">
        <v>0.141929</v>
      </c>
    </row>
    <row r="59" spans="1:38" ht="15" customHeight="1" x14ac:dyDescent="0.25">
      <c r="A59" s="7" t="s">
        <v>1808</v>
      </c>
      <c r="B59" s="11" t="s">
        <v>1775</v>
      </c>
      <c r="C59" s="64">
        <v>23.444604999999999</v>
      </c>
      <c r="D59" s="64">
        <v>25.665613</v>
      </c>
      <c r="E59" s="64">
        <v>25.085373000000001</v>
      </c>
      <c r="F59" s="64">
        <v>22.547219999999999</v>
      </c>
      <c r="G59" s="64">
        <v>24.582015999999999</v>
      </c>
      <c r="H59" s="64">
        <v>21.414781999999999</v>
      </c>
      <c r="I59" s="64">
        <v>18.137888</v>
      </c>
      <c r="J59" s="64">
        <v>16.943235000000001</v>
      </c>
      <c r="K59" s="64">
        <v>15.446011</v>
      </c>
      <c r="L59" s="64">
        <v>13.311101000000001</v>
      </c>
      <c r="M59" s="64">
        <v>11.114668</v>
      </c>
      <c r="N59" s="64">
        <v>8.5047429999999995</v>
      </c>
      <c r="O59" s="64">
        <v>7.3332899999999999</v>
      </c>
      <c r="P59" s="64">
        <v>7.0012249999999998</v>
      </c>
      <c r="Q59" s="64">
        <v>7.0231070000000004</v>
      </c>
      <c r="R59" s="64">
        <v>7.0719200000000004</v>
      </c>
      <c r="S59" s="64">
        <v>7.1113809999999997</v>
      </c>
      <c r="T59" s="64">
        <v>7.1657599999999997</v>
      </c>
      <c r="U59" s="64">
        <v>7.0651599999999997</v>
      </c>
      <c r="V59" s="64">
        <v>7.1217360000000003</v>
      </c>
      <c r="W59" s="64">
        <v>7.229495</v>
      </c>
      <c r="X59" s="64">
        <v>7.3367469999999999</v>
      </c>
      <c r="Y59" s="64">
        <v>7.4601090000000001</v>
      </c>
      <c r="Z59" s="64">
        <v>7.9404490000000001</v>
      </c>
      <c r="AA59" s="64">
        <v>10.108665999999999</v>
      </c>
      <c r="AB59" s="64">
        <v>10.723212</v>
      </c>
      <c r="AC59" s="64">
        <v>11.275873000000001</v>
      </c>
      <c r="AD59" s="64">
        <v>11.612988</v>
      </c>
      <c r="AE59" s="64">
        <v>8.4365539999999992</v>
      </c>
      <c r="AF59" s="64">
        <v>8.6599430000000002</v>
      </c>
      <c r="AG59" s="64">
        <v>9.6914940000000005</v>
      </c>
      <c r="AH59" s="64">
        <v>9.7835920000000005</v>
      </c>
      <c r="AI59" s="64">
        <v>9.7857339999999997</v>
      </c>
      <c r="AJ59" s="64">
        <v>9.7837770000000006</v>
      </c>
      <c r="AK59" s="64">
        <v>9.9794330000000002</v>
      </c>
      <c r="AL59" s="13">
        <v>-2.8219000000000001E-2</v>
      </c>
    </row>
    <row r="60" spans="1:38" ht="15" customHeight="1" x14ac:dyDescent="0.25">
      <c r="A60" s="7" t="s">
        <v>1809</v>
      </c>
      <c r="B60" s="11" t="s">
        <v>1796</v>
      </c>
      <c r="C60" s="64">
        <v>0</v>
      </c>
      <c r="D60" s="64">
        <v>0</v>
      </c>
      <c r="E60" s="64">
        <v>0</v>
      </c>
      <c r="F60" s="64">
        <v>0</v>
      </c>
      <c r="G60" s="64">
        <v>0</v>
      </c>
      <c r="H60" s="64">
        <v>0</v>
      </c>
      <c r="I60" s="64">
        <v>0</v>
      </c>
      <c r="J60" s="64">
        <v>0</v>
      </c>
      <c r="K60" s="64">
        <v>0</v>
      </c>
      <c r="L60" s="64">
        <v>0</v>
      </c>
      <c r="M60" s="64">
        <v>0</v>
      </c>
      <c r="N60" s="64">
        <v>0</v>
      </c>
      <c r="O60" s="64">
        <v>0</v>
      </c>
      <c r="P60" s="64">
        <v>0</v>
      </c>
      <c r="Q60" s="64">
        <v>0</v>
      </c>
      <c r="R60" s="64">
        <v>0</v>
      </c>
      <c r="S60" s="64">
        <v>0</v>
      </c>
      <c r="T60" s="64">
        <v>0</v>
      </c>
      <c r="U60" s="64">
        <v>0</v>
      </c>
      <c r="V60" s="64">
        <v>0</v>
      </c>
      <c r="W60" s="64">
        <v>0</v>
      </c>
      <c r="X60" s="64">
        <v>0</v>
      </c>
      <c r="Y60" s="64">
        <v>0</v>
      </c>
      <c r="Z60" s="64">
        <v>0</v>
      </c>
      <c r="AA60" s="64">
        <v>0</v>
      </c>
      <c r="AB60" s="64">
        <v>0</v>
      </c>
      <c r="AC60" s="64">
        <v>0</v>
      </c>
      <c r="AD60" s="64">
        <v>0</v>
      </c>
      <c r="AE60" s="64">
        <v>0</v>
      </c>
      <c r="AF60" s="64">
        <v>0</v>
      </c>
      <c r="AG60" s="64">
        <v>0</v>
      </c>
      <c r="AH60" s="64">
        <v>0</v>
      </c>
      <c r="AI60" s="64">
        <v>0</v>
      </c>
      <c r="AJ60" s="64">
        <v>0</v>
      </c>
      <c r="AK60" s="64">
        <v>0</v>
      </c>
      <c r="AL60" s="13" t="s">
        <v>9</v>
      </c>
    </row>
    <row r="62" spans="1:38" ht="15" customHeight="1" x14ac:dyDescent="0.25">
      <c r="A62" s="7" t="s">
        <v>1810</v>
      </c>
      <c r="B62" s="10" t="s">
        <v>260</v>
      </c>
      <c r="C62" s="140">
        <v>29.604378000000001</v>
      </c>
      <c r="D62" s="140">
        <v>29.569026999999998</v>
      </c>
      <c r="E62" s="140">
        <v>27.843601</v>
      </c>
      <c r="F62" s="140">
        <v>26.591072</v>
      </c>
      <c r="G62" s="140">
        <v>26.917891999999998</v>
      </c>
      <c r="H62" s="140">
        <v>26.633597999999999</v>
      </c>
      <c r="I62" s="140">
        <v>25.418714999999999</v>
      </c>
      <c r="J62" s="140">
        <v>23.112200000000001</v>
      </c>
      <c r="K62" s="140">
        <v>22.943473999999998</v>
      </c>
      <c r="L62" s="140">
        <v>22.804182000000001</v>
      </c>
      <c r="M62" s="140">
        <v>22.691569999999999</v>
      </c>
      <c r="N62" s="140">
        <v>22.664491999999999</v>
      </c>
      <c r="O62" s="140">
        <v>22.723095000000001</v>
      </c>
      <c r="P62" s="140">
        <v>22.693107999999999</v>
      </c>
      <c r="Q62" s="140">
        <v>22.784179999999999</v>
      </c>
      <c r="R62" s="140">
        <v>22.770149</v>
      </c>
      <c r="S62" s="140">
        <v>22.793011</v>
      </c>
      <c r="T62" s="140">
        <v>22.64798</v>
      </c>
      <c r="U62" s="140">
        <v>22.595828999999998</v>
      </c>
      <c r="V62" s="140">
        <v>22.555779000000001</v>
      </c>
      <c r="W62" s="140">
        <v>22.530884</v>
      </c>
      <c r="X62" s="140">
        <v>22.509751999999999</v>
      </c>
      <c r="Y62" s="140">
        <v>22.555519</v>
      </c>
      <c r="Z62" s="140">
        <v>22.548480999999999</v>
      </c>
      <c r="AA62" s="140">
        <v>22.525182999999998</v>
      </c>
      <c r="AB62" s="140">
        <v>22.481617</v>
      </c>
      <c r="AC62" s="140">
        <v>22.442657000000001</v>
      </c>
      <c r="AD62" s="140">
        <v>22.473602</v>
      </c>
      <c r="AE62" s="140">
        <v>22.505703</v>
      </c>
      <c r="AF62" s="140">
        <v>22.463829</v>
      </c>
      <c r="AG62" s="140">
        <v>22.404682000000001</v>
      </c>
      <c r="AH62" s="140">
        <v>22.465724999999999</v>
      </c>
      <c r="AI62" s="140">
        <v>22.482089999999999</v>
      </c>
      <c r="AJ62" s="140">
        <v>22.474696999999999</v>
      </c>
      <c r="AK62" s="140">
        <v>22.468368999999999</v>
      </c>
      <c r="AL62" s="15">
        <v>-8.2869999999999992E-3</v>
      </c>
    </row>
    <row r="63" spans="1:38" ht="15" customHeight="1" x14ac:dyDescent="0.25">
      <c r="A63" s="7" t="s">
        <v>1811</v>
      </c>
      <c r="B63" s="11" t="s">
        <v>1775</v>
      </c>
      <c r="C63" s="64">
        <v>5.8772929999999999</v>
      </c>
      <c r="D63" s="64">
        <v>6.2023549999999998</v>
      </c>
      <c r="E63" s="64">
        <v>5.905259</v>
      </c>
      <c r="F63" s="64">
        <v>4.1409750000000001</v>
      </c>
      <c r="G63" s="64">
        <v>3.9380259999999998</v>
      </c>
      <c r="H63" s="64">
        <v>3.7450230000000002</v>
      </c>
      <c r="I63" s="64">
        <v>3.56148</v>
      </c>
      <c r="J63" s="64">
        <v>3.3869319999999998</v>
      </c>
      <c r="K63" s="64">
        <v>4.0621470000000004</v>
      </c>
      <c r="L63" s="64">
        <v>4.720351</v>
      </c>
      <c r="M63" s="64">
        <v>5.2878259999999999</v>
      </c>
      <c r="N63" s="64">
        <v>5.3407039999999997</v>
      </c>
      <c r="O63" s="64">
        <v>4.9763510000000002</v>
      </c>
      <c r="P63" s="64">
        <v>4.7324599999999997</v>
      </c>
      <c r="Q63" s="64">
        <v>4.5005230000000003</v>
      </c>
      <c r="R63" s="64">
        <v>4.2799529999999999</v>
      </c>
      <c r="S63" s="64">
        <v>4.0701919999999996</v>
      </c>
      <c r="T63" s="64">
        <v>4.7137159999999998</v>
      </c>
      <c r="U63" s="64">
        <v>4.8167220000000004</v>
      </c>
      <c r="V63" s="64">
        <v>4.8721969999999999</v>
      </c>
      <c r="W63" s="64">
        <v>4.8933340000000003</v>
      </c>
      <c r="X63" s="64">
        <v>4.8933340000000003</v>
      </c>
      <c r="Y63" s="64">
        <v>4.8444000000000003</v>
      </c>
      <c r="Z63" s="64">
        <v>4.7959569999999996</v>
      </c>
      <c r="AA63" s="64">
        <v>4.7479969999999998</v>
      </c>
      <c r="AB63" s="64">
        <v>4.7005169999999996</v>
      </c>
      <c r="AC63" s="64">
        <v>4.6428710000000004</v>
      </c>
      <c r="AD63" s="64">
        <v>4.5958870000000003</v>
      </c>
      <c r="AE63" s="64">
        <v>4.5322319999999996</v>
      </c>
      <c r="AF63" s="64">
        <v>4.4932600000000003</v>
      </c>
      <c r="AG63" s="64">
        <v>4.457986</v>
      </c>
      <c r="AH63" s="64">
        <v>4.433141</v>
      </c>
      <c r="AI63" s="64">
        <v>4.4003740000000002</v>
      </c>
      <c r="AJ63" s="64">
        <v>4.3639200000000002</v>
      </c>
      <c r="AK63" s="64">
        <v>4.3250089999999997</v>
      </c>
      <c r="AL63" s="13">
        <v>-1.0865E-2</v>
      </c>
    </row>
    <row r="64" spans="1:38" ht="15" customHeight="1" x14ac:dyDescent="0.25">
      <c r="A64" s="7" t="s">
        <v>1812</v>
      </c>
      <c r="B64" s="11" t="s">
        <v>1769</v>
      </c>
      <c r="C64" s="64">
        <v>5.2071740000000002</v>
      </c>
      <c r="D64" s="64">
        <v>5.2071740000000002</v>
      </c>
      <c r="E64" s="64">
        <v>2.597073</v>
      </c>
      <c r="F64" s="64">
        <v>2.597073</v>
      </c>
      <c r="G64" s="64">
        <v>2.6681210000000002</v>
      </c>
      <c r="H64" s="64">
        <v>2.6581570000000001</v>
      </c>
      <c r="I64" s="64">
        <v>2.6586110000000001</v>
      </c>
      <c r="J64" s="64">
        <v>2.6487599999999998</v>
      </c>
      <c r="K64" s="64">
        <v>2.6474489999999999</v>
      </c>
      <c r="L64" s="64">
        <v>2.645575</v>
      </c>
      <c r="M64" s="64">
        <v>2.646166</v>
      </c>
      <c r="N64" s="64">
        <v>2.64316</v>
      </c>
      <c r="O64" s="64">
        <v>2.6419009999999998</v>
      </c>
      <c r="P64" s="64">
        <v>2.6406610000000001</v>
      </c>
      <c r="Q64" s="64">
        <v>2.639189</v>
      </c>
      <c r="R64" s="64">
        <v>2.636749</v>
      </c>
      <c r="S64" s="64">
        <v>2.6349830000000001</v>
      </c>
      <c r="T64" s="64">
        <v>2.6330610000000001</v>
      </c>
      <c r="U64" s="64">
        <v>2.6296300000000001</v>
      </c>
      <c r="V64" s="64">
        <v>2.6265510000000001</v>
      </c>
      <c r="W64" s="64">
        <v>2.6241729999999999</v>
      </c>
      <c r="X64" s="64">
        <v>2.621759</v>
      </c>
      <c r="Y64" s="64">
        <v>2.6331549999999999</v>
      </c>
      <c r="Z64" s="64">
        <v>2.6297730000000001</v>
      </c>
      <c r="AA64" s="64">
        <v>2.6276600000000001</v>
      </c>
      <c r="AB64" s="64">
        <v>2.621454</v>
      </c>
      <c r="AC64" s="64">
        <v>2.6093600000000001</v>
      </c>
      <c r="AD64" s="64">
        <v>2.6199840000000001</v>
      </c>
      <c r="AE64" s="64">
        <v>2.6191140000000002</v>
      </c>
      <c r="AF64" s="64">
        <v>2.615478</v>
      </c>
      <c r="AG64" s="64">
        <v>2.6012949999999999</v>
      </c>
      <c r="AH64" s="64">
        <v>2.6116290000000002</v>
      </c>
      <c r="AI64" s="64">
        <v>2.6105770000000001</v>
      </c>
      <c r="AJ64" s="64">
        <v>2.6095860000000002</v>
      </c>
      <c r="AK64" s="64">
        <v>2.6078079999999999</v>
      </c>
      <c r="AL64" s="13">
        <v>-2.0736999999999998E-2</v>
      </c>
    </row>
    <row r="65" spans="1:38" ht="15" customHeight="1" x14ac:dyDescent="0.25">
      <c r="A65" s="7" t="s">
        <v>1813</v>
      </c>
      <c r="B65" s="11" t="s">
        <v>1798</v>
      </c>
      <c r="C65" s="64">
        <v>18.519911</v>
      </c>
      <c r="D65" s="64">
        <v>18.159496000000001</v>
      </c>
      <c r="E65" s="64">
        <v>19.341269</v>
      </c>
      <c r="F65" s="64">
        <v>19.853024000000001</v>
      </c>
      <c r="G65" s="64">
        <v>20.311744999999998</v>
      </c>
      <c r="H65" s="64">
        <v>20.230419000000001</v>
      </c>
      <c r="I65" s="64">
        <v>19.198623999999999</v>
      </c>
      <c r="J65" s="64">
        <v>17.076508</v>
      </c>
      <c r="K65" s="64">
        <v>16.233877</v>
      </c>
      <c r="L65" s="64">
        <v>15.438256000000001</v>
      </c>
      <c r="M65" s="64">
        <v>14.757578000000001</v>
      </c>
      <c r="N65" s="64">
        <v>14.680628</v>
      </c>
      <c r="O65" s="64">
        <v>15.104843000000001</v>
      </c>
      <c r="P65" s="64">
        <v>15.319986</v>
      </c>
      <c r="Q65" s="64">
        <v>15.644467000000001</v>
      </c>
      <c r="R65" s="64">
        <v>15.853448</v>
      </c>
      <c r="S65" s="64">
        <v>16.087834999999998</v>
      </c>
      <c r="T65" s="64">
        <v>15.301202999999999</v>
      </c>
      <c r="U65" s="64">
        <v>15.149476999999999</v>
      </c>
      <c r="V65" s="64">
        <v>15.057032</v>
      </c>
      <c r="W65" s="64">
        <v>15.013375999999999</v>
      </c>
      <c r="X65" s="64">
        <v>14.994657999999999</v>
      </c>
      <c r="Y65" s="64">
        <v>15.077964</v>
      </c>
      <c r="Z65" s="64">
        <v>15.122750999999999</v>
      </c>
      <c r="AA65" s="64">
        <v>15.149526</v>
      </c>
      <c r="AB65" s="64">
        <v>15.159646</v>
      </c>
      <c r="AC65" s="64">
        <v>15.190426</v>
      </c>
      <c r="AD65" s="64">
        <v>15.25773</v>
      </c>
      <c r="AE65" s="64">
        <v>15.354359000000001</v>
      </c>
      <c r="AF65" s="64">
        <v>15.355091</v>
      </c>
      <c r="AG65" s="64">
        <v>15.345401000000001</v>
      </c>
      <c r="AH65" s="64">
        <v>15.420954999999999</v>
      </c>
      <c r="AI65" s="64">
        <v>15.47114</v>
      </c>
      <c r="AJ65" s="64">
        <v>15.501192</v>
      </c>
      <c r="AK65" s="64">
        <v>15.535551999999999</v>
      </c>
      <c r="AL65" s="13">
        <v>-4.718E-3</v>
      </c>
    </row>
    <row r="67" spans="1:38" ht="15" customHeight="1" x14ac:dyDescent="0.25">
      <c r="B67" s="10" t="s">
        <v>261</v>
      </c>
    </row>
    <row r="68" spans="1:38" ht="15" customHeight="1" x14ac:dyDescent="0.25">
      <c r="A68" s="7" t="s">
        <v>1814</v>
      </c>
      <c r="B68" s="11" t="s">
        <v>1796</v>
      </c>
      <c r="C68" s="64">
        <v>0.56255699999999997</v>
      </c>
      <c r="D68" s="64">
        <v>0.94825999999999999</v>
      </c>
      <c r="E68" s="64">
        <v>0.79927800000000004</v>
      </c>
      <c r="F68" s="64">
        <v>0.85004400000000002</v>
      </c>
      <c r="G68" s="64">
        <v>0.886216</v>
      </c>
      <c r="H68" s="64">
        <v>0.92840999999999996</v>
      </c>
      <c r="I68" s="64">
        <v>0.97043100000000004</v>
      </c>
      <c r="J68" s="64">
        <v>0.97201400000000004</v>
      </c>
      <c r="K68" s="64">
        <v>0.97354799999999997</v>
      </c>
      <c r="L68" s="64">
        <v>0.97318499999999997</v>
      </c>
      <c r="M68" s="64">
        <v>0.97258199999999995</v>
      </c>
      <c r="N68" s="64">
        <v>0.97129600000000005</v>
      </c>
      <c r="O68" s="64">
        <v>0.96992800000000001</v>
      </c>
      <c r="P68" s="64">
        <v>0.96776300000000004</v>
      </c>
      <c r="Q68" s="64">
        <v>1.463025</v>
      </c>
      <c r="R68" s="64">
        <v>1.6824790000000001</v>
      </c>
      <c r="S68" s="64">
        <v>1.93485</v>
      </c>
      <c r="T68" s="64">
        <v>2.1084839999999998</v>
      </c>
      <c r="U68" s="64">
        <v>2.1681379999999999</v>
      </c>
      <c r="V68" s="64">
        <v>2.2420800000000001</v>
      </c>
      <c r="W68" s="64">
        <v>2.3214100000000002</v>
      </c>
      <c r="X68" s="64">
        <v>2.3910529999999999</v>
      </c>
      <c r="Y68" s="64">
        <v>2.2861799999999999</v>
      </c>
      <c r="Z68" s="64">
        <v>1.6031500000000001</v>
      </c>
      <c r="AA68" s="64">
        <v>1.52458</v>
      </c>
      <c r="AB68" s="64">
        <v>1.936023</v>
      </c>
      <c r="AC68" s="64">
        <v>2.346422</v>
      </c>
      <c r="AD68" s="64">
        <v>2.464426</v>
      </c>
      <c r="AE68" s="64">
        <v>2.3563360000000002</v>
      </c>
      <c r="AF68" s="64">
        <v>2.252103</v>
      </c>
      <c r="AG68" s="64">
        <v>2.1843210000000002</v>
      </c>
      <c r="AH68" s="64">
        <v>2.1194449999999998</v>
      </c>
      <c r="AI68" s="64">
        <v>2.162045</v>
      </c>
      <c r="AJ68" s="64">
        <v>2.4273289999999998</v>
      </c>
      <c r="AK68" s="64">
        <v>2.4273289999999998</v>
      </c>
      <c r="AL68" s="13">
        <v>2.8892000000000001E-2</v>
      </c>
    </row>
    <row r="70" spans="1:38" ht="15" customHeight="1" x14ac:dyDescent="0.25">
      <c r="B70" s="10" t="s">
        <v>262</v>
      </c>
    </row>
    <row r="72" spans="1:38" ht="15" customHeight="1" x14ac:dyDescent="0.25">
      <c r="A72" s="7" t="s">
        <v>1815</v>
      </c>
      <c r="B72" s="11" t="s">
        <v>1816</v>
      </c>
      <c r="C72" s="64">
        <v>55.275734</v>
      </c>
      <c r="D72" s="64">
        <v>60.397906999999996</v>
      </c>
      <c r="E72" s="64">
        <v>57.179665</v>
      </c>
      <c r="F72" s="64">
        <v>55.693950999999998</v>
      </c>
      <c r="G72" s="64">
        <v>53.582763999999997</v>
      </c>
      <c r="H72" s="64">
        <v>54.906405999999997</v>
      </c>
      <c r="I72" s="64">
        <v>55.516125000000002</v>
      </c>
      <c r="J72" s="64">
        <v>57.296959000000001</v>
      </c>
      <c r="K72" s="64">
        <v>58.773173999999997</v>
      </c>
      <c r="L72" s="64">
        <v>55.592559999999999</v>
      </c>
      <c r="M72" s="64">
        <v>53.513134000000001</v>
      </c>
      <c r="N72" s="64">
        <v>52.882851000000002</v>
      </c>
      <c r="O72" s="64">
        <v>53.278297000000002</v>
      </c>
      <c r="P72" s="64">
        <v>52.846122999999999</v>
      </c>
      <c r="Q72" s="64">
        <v>52.606476000000001</v>
      </c>
      <c r="R72" s="64">
        <v>52.482551999999998</v>
      </c>
      <c r="S72" s="64">
        <v>54.539619000000002</v>
      </c>
      <c r="T72" s="64">
        <v>55.581206999999999</v>
      </c>
      <c r="U72" s="64">
        <v>52.777996000000002</v>
      </c>
      <c r="V72" s="64">
        <v>52.856349999999999</v>
      </c>
      <c r="W72" s="64">
        <v>53.754257000000003</v>
      </c>
      <c r="X72" s="64">
        <v>54.928181000000002</v>
      </c>
      <c r="Y72" s="64">
        <v>57.300541000000003</v>
      </c>
      <c r="Z72" s="64">
        <v>57.470539000000002</v>
      </c>
      <c r="AA72" s="64">
        <v>58.023936999999997</v>
      </c>
      <c r="AB72" s="64">
        <v>57.121746000000002</v>
      </c>
      <c r="AC72" s="64">
        <v>56.086860999999999</v>
      </c>
      <c r="AD72" s="64">
        <v>54.901423999999999</v>
      </c>
      <c r="AE72" s="64">
        <v>54.198441000000003</v>
      </c>
      <c r="AF72" s="64">
        <v>53.473315999999997</v>
      </c>
      <c r="AG72" s="64">
        <v>54.190842000000004</v>
      </c>
      <c r="AH72" s="64">
        <v>54.803477999999998</v>
      </c>
      <c r="AI72" s="64">
        <v>56.792088</v>
      </c>
      <c r="AJ72" s="64">
        <v>56.723846000000002</v>
      </c>
      <c r="AK72" s="64">
        <v>54.153309</v>
      </c>
      <c r="AL72" s="13">
        <v>-3.3019999999999998E-3</v>
      </c>
    </row>
    <row r="73" spans="1:38" ht="15" customHeight="1" x14ac:dyDescent="0.25">
      <c r="A73" s="7" t="s">
        <v>1817</v>
      </c>
      <c r="B73" s="11" t="s">
        <v>1818</v>
      </c>
      <c r="C73" s="64">
        <v>272.616333</v>
      </c>
      <c r="D73" s="64">
        <v>290.82568400000002</v>
      </c>
      <c r="E73" s="64">
        <v>269.94433600000002</v>
      </c>
      <c r="F73" s="64">
        <v>276.87719700000002</v>
      </c>
      <c r="G73" s="64">
        <v>288.85504200000003</v>
      </c>
      <c r="H73" s="64">
        <v>278.61447099999998</v>
      </c>
      <c r="I73" s="64">
        <v>276.05343599999998</v>
      </c>
      <c r="J73" s="64">
        <v>278.388214</v>
      </c>
      <c r="K73" s="64">
        <v>277.88201900000001</v>
      </c>
      <c r="L73" s="64">
        <v>275.72662400000002</v>
      </c>
      <c r="M73" s="64">
        <v>278.25762900000001</v>
      </c>
      <c r="N73" s="64">
        <v>277.04400600000002</v>
      </c>
      <c r="O73" s="64">
        <v>279.13647500000002</v>
      </c>
      <c r="P73" s="64">
        <v>280.73281900000001</v>
      </c>
      <c r="Q73" s="64">
        <v>285.709656</v>
      </c>
      <c r="R73" s="64">
        <v>285.50924700000002</v>
      </c>
      <c r="S73" s="64">
        <v>282.83197000000001</v>
      </c>
      <c r="T73" s="64">
        <v>287.48605300000003</v>
      </c>
      <c r="U73" s="64">
        <v>285.208282</v>
      </c>
      <c r="V73" s="64">
        <v>289.60611</v>
      </c>
      <c r="W73" s="64">
        <v>289.59582499999999</v>
      </c>
      <c r="X73" s="64">
        <v>293.96176100000002</v>
      </c>
      <c r="Y73" s="64">
        <v>295.00006100000002</v>
      </c>
      <c r="Z73" s="64">
        <v>302.077179</v>
      </c>
      <c r="AA73" s="64">
        <v>304.60162400000002</v>
      </c>
      <c r="AB73" s="64">
        <v>306.126282</v>
      </c>
      <c r="AC73" s="64">
        <v>306.71023600000001</v>
      </c>
      <c r="AD73" s="64">
        <v>306.84738199999998</v>
      </c>
      <c r="AE73" s="64">
        <v>303.30209400000001</v>
      </c>
      <c r="AF73" s="64">
        <v>303.62970000000001</v>
      </c>
      <c r="AG73" s="64">
        <v>304.81726099999997</v>
      </c>
      <c r="AH73" s="64">
        <v>306.114868</v>
      </c>
      <c r="AI73" s="64">
        <v>306.030823</v>
      </c>
      <c r="AJ73" s="64">
        <v>306.35922199999999</v>
      </c>
      <c r="AK73" s="64">
        <v>306.95443699999998</v>
      </c>
      <c r="AL73" s="13">
        <v>1.637E-3</v>
      </c>
    </row>
    <row r="74" spans="1:38" ht="15" customHeight="1" x14ac:dyDescent="0.25">
      <c r="A74" s="7" t="s">
        <v>1819</v>
      </c>
      <c r="B74" s="11" t="s">
        <v>1820</v>
      </c>
      <c r="C74" s="64">
        <v>365.728973</v>
      </c>
      <c r="D74" s="64">
        <v>372.69335899999999</v>
      </c>
      <c r="E74" s="64">
        <v>380.05523699999998</v>
      </c>
      <c r="F74" s="64">
        <v>347.55191000000002</v>
      </c>
      <c r="G74" s="64">
        <v>336.66836499999999</v>
      </c>
      <c r="H74" s="64">
        <v>332.50195300000001</v>
      </c>
      <c r="I74" s="64">
        <v>319.25952100000001</v>
      </c>
      <c r="J74" s="64">
        <v>313.902985</v>
      </c>
      <c r="K74" s="64">
        <v>335.03680400000002</v>
      </c>
      <c r="L74" s="64">
        <v>348.84728999999999</v>
      </c>
      <c r="M74" s="64">
        <v>357.13952599999999</v>
      </c>
      <c r="N74" s="64">
        <v>358.46682700000002</v>
      </c>
      <c r="O74" s="64">
        <v>352.95718399999998</v>
      </c>
      <c r="P74" s="64">
        <v>354.80441300000001</v>
      </c>
      <c r="Q74" s="64">
        <v>352.62683099999998</v>
      </c>
      <c r="R74" s="64">
        <v>348.573914</v>
      </c>
      <c r="S74" s="64">
        <v>349.98156699999998</v>
      </c>
      <c r="T74" s="64">
        <v>341.73605300000003</v>
      </c>
      <c r="U74" s="64">
        <v>340.16409299999998</v>
      </c>
      <c r="V74" s="64">
        <v>332.18597399999999</v>
      </c>
      <c r="W74" s="64">
        <v>336.41641199999998</v>
      </c>
      <c r="X74" s="64">
        <v>330.92010499999998</v>
      </c>
      <c r="Y74" s="64">
        <v>332.30419899999998</v>
      </c>
      <c r="Z74" s="64">
        <v>325.17636099999999</v>
      </c>
      <c r="AA74" s="64">
        <v>321.49627700000002</v>
      </c>
      <c r="AB74" s="64">
        <v>321.028931</v>
      </c>
      <c r="AC74" s="64">
        <v>318.99841300000003</v>
      </c>
      <c r="AD74" s="64">
        <v>320.61291499999999</v>
      </c>
      <c r="AE74" s="64">
        <v>326.21554600000002</v>
      </c>
      <c r="AF74" s="64">
        <v>326.35845899999998</v>
      </c>
      <c r="AG74" s="64">
        <v>321.724243</v>
      </c>
      <c r="AH74" s="64">
        <v>320.23361199999999</v>
      </c>
      <c r="AI74" s="64">
        <v>318.42770400000001</v>
      </c>
      <c r="AJ74" s="64">
        <v>323.56512500000002</v>
      </c>
      <c r="AK74" s="64">
        <v>324.53900099999998</v>
      </c>
      <c r="AL74" s="13">
        <v>-4.1840000000000002E-3</v>
      </c>
    </row>
    <row r="75" spans="1:38" ht="15" customHeight="1" x14ac:dyDescent="0.25">
      <c r="A75" s="7" t="s">
        <v>1821</v>
      </c>
      <c r="B75" s="11" t="s">
        <v>1822</v>
      </c>
      <c r="C75" s="64">
        <v>64.871689000000003</v>
      </c>
      <c r="D75" s="64">
        <v>60.046787000000002</v>
      </c>
      <c r="E75" s="64">
        <v>62.171432000000003</v>
      </c>
      <c r="F75" s="64">
        <v>58.666804999999997</v>
      </c>
      <c r="G75" s="64">
        <v>51.606602000000002</v>
      </c>
      <c r="H75" s="64">
        <v>49.690052000000001</v>
      </c>
      <c r="I75" s="64">
        <v>48.31897</v>
      </c>
      <c r="J75" s="64">
        <v>55.068283000000001</v>
      </c>
      <c r="K75" s="64">
        <v>58.677872000000001</v>
      </c>
      <c r="L75" s="64">
        <v>58.230857999999998</v>
      </c>
      <c r="M75" s="64">
        <v>59.465705999999997</v>
      </c>
      <c r="N75" s="64">
        <v>60.187775000000002</v>
      </c>
      <c r="O75" s="64">
        <v>60.606216000000003</v>
      </c>
      <c r="P75" s="64">
        <v>60.596603000000002</v>
      </c>
      <c r="Q75" s="64">
        <v>59.049156000000004</v>
      </c>
      <c r="R75" s="64">
        <v>58.898437999999999</v>
      </c>
      <c r="S75" s="64">
        <v>58.345160999999997</v>
      </c>
      <c r="T75" s="64">
        <v>59.567954999999998</v>
      </c>
      <c r="U75" s="64">
        <v>59.630927999999997</v>
      </c>
      <c r="V75" s="64">
        <v>61.533054</v>
      </c>
      <c r="W75" s="64">
        <v>61.214035000000003</v>
      </c>
      <c r="X75" s="64">
        <v>61.537483000000002</v>
      </c>
      <c r="Y75" s="64">
        <v>61.679141999999999</v>
      </c>
      <c r="Z75" s="64">
        <v>61.774822</v>
      </c>
      <c r="AA75" s="64">
        <v>61.665024000000003</v>
      </c>
      <c r="AB75" s="64">
        <v>61.658797999999997</v>
      </c>
      <c r="AC75" s="64">
        <v>61.436951000000001</v>
      </c>
      <c r="AD75" s="64">
        <v>61.468924999999999</v>
      </c>
      <c r="AE75" s="64">
        <v>61.50658</v>
      </c>
      <c r="AF75" s="64">
        <v>61.210357999999999</v>
      </c>
      <c r="AG75" s="64">
        <v>60.583678999999997</v>
      </c>
      <c r="AH75" s="64">
        <v>60.595623000000003</v>
      </c>
      <c r="AI75" s="64">
        <v>60.772723999999997</v>
      </c>
      <c r="AJ75" s="64">
        <v>61.400024000000002</v>
      </c>
      <c r="AK75" s="64">
        <v>61.13485</v>
      </c>
      <c r="AL75" s="13">
        <v>5.44E-4</v>
      </c>
    </row>
    <row r="77" spans="1:38" ht="15" customHeight="1" x14ac:dyDescent="0.25">
      <c r="A77" s="7" t="s">
        <v>1823</v>
      </c>
      <c r="B77" s="11" t="s">
        <v>1824</v>
      </c>
      <c r="C77" s="64">
        <v>368.68524200000002</v>
      </c>
      <c r="D77" s="64">
        <v>381.92211900000001</v>
      </c>
      <c r="E77" s="64">
        <v>385.70394900000002</v>
      </c>
      <c r="F77" s="64">
        <v>353.600098</v>
      </c>
      <c r="G77" s="64">
        <v>343.83145100000002</v>
      </c>
      <c r="H77" s="64">
        <v>336.006348</v>
      </c>
      <c r="I77" s="64">
        <v>318.85199</v>
      </c>
      <c r="J77" s="64">
        <v>314.90551799999997</v>
      </c>
      <c r="K77" s="64">
        <v>336.36938500000002</v>
      </c>
      <c r="L77" s="64">
        <v>350.31329299999999</v>
      </c>
      <c r="M77" s="64">
        <v>358.51333599999998</v>
      </c>
      <c r="N77" s="64">
        <v>358.21603399999998</v>
      </c>
      <c r="O77" s="64">
        <v>351.42111199999999</v>
      </c>
      <c r="P77" s="64">
        <v>352.55438199999998</v>
      </c>
      <c r="Q77" s="64">
        <v>350.45141599999999</v>
      </c>
      <c r="R77" s="64">
        <v>346.43859900000001</v>
      </c>
      <c r="S77" s="64">
        <v>348.58136000000002</v>
      </c>
      <c r="T77" s="64">
        <v>342.91522200000003</v>
      </c>
      <c r="U77" s="64">
        <v>339.53747600000003</v>
      </c>
      <c r="V77" s="64">
        <v>331.886078</v>
      </c>
      <c r="W77" s="64">
        <v>337.12423699999999</v>
      </c>
      <c r="X77" s="64">
        <v>332.73202500000002</v>
      </c>
      <c r="Y77" s="64">
        <v>335.17910799999999</v>
      </c>
      <c r="Z77" s="64">
        <v>329.30493200000001</v>
      </c>
      <c r="AA77" s="64">
        <v>331.17785600000002</v>
      </c>
      <c r="AB77" s="64">
        <v>330.51535000000001</v>
      </c>
      <c r="AC77" s="64">
        <v>328.76763899999997</v>
      </c>
      <c r="AD77" s="64">
        <v>330.602844</v>
      </c>
      <c r="AE77" s="64">
        <v>332.52780200000001</v>
      </c>
      <c r="AF77" s="64">
        <v>332.21826199999998</v>
      </c>
      <c r="AG77" s="64">
        <v>329.43756100000002</v>
      </c>
      <c r="AH77" s="64">
        <v>328.04779100000002</v>
      </c>
      <c r="AI77" s="64">
        <v>327.37472500000001</v>
      </c>
      <c r="AJ77" s="64">
        <v>332.68695100000002</v>
      </c>
      <c r="AK77" s="64">
        <v>331.30755599999998</v>
      </c>
      <c r="AL77" s="13">
        <v>-4.2989999999999999E-3</v>
      </c>
    </row>
    <row r="78" spans="1:38" ht="15" customHeight="1" x14ac:dyDescent="0.25">
      <c r="A78" s="7" t="s">
        <v>1825</v>
      </c>
      <c r="B78" s="11" t="s">
        <v>1826</v>
      </c>
      <c r="C78" s="64">
        <v>203.41630599999999</v>
      </c>
      <c r="D78" s="64">
        <v>199.74839800000001</v>
      </c>
      <c r="E78" s="64">
        <v>186.531342</v>
      </c>
      <c r="F78" s="64">
        <v>179.69009399999999</v>
      </c>
      <c r="G78" s="64">
        <v>173.52604700000001</v>
      </c>
      <c r="H78" s="64">
        <v>171.95024100000001</v>
      </c>
      <c r="I78" s="64">
        <v>170.98898299999999</v>
      </c>
      <c r="J78" s="64">
        <v>181.86123699999999</v>
      </c>
      <c r="K78" s="64">
        <v>186.56866500000001</v>
      </c>
      <c r="L78" s="64">
        <v>183.79631000000001</v>
      </c>
      <c r="M78" s="64">
        <v>179.95581100000001</v>
      </c>
      <c r="N78" s="64">
        <v>178.54884300000001</v>
      </c>
      <c r="O78" s="64">
        <v>179.44714400000001</v>
      </c>
      <c r="P78" s="64">
        <v>179.55396999999999</v>
      </c>
      <c r="Q78" s="64">
        <v>177.03125</v>
      </c>
      <c r="R78" s="64">
        <v>176.66868600000001</v>
      </c>
      <c r="S78" s="64">
        <v>177.07074</v>
      </c>
      <c r="T78" s="64">
        <v>178.35734600000001</v>
      </c>
      <c r="U78" s="64">
        <v>178.39250200000001</v>
      </c>
      <c r="V78" s="64">
        <v>180.62243699999999</v>
      </c>
      <c r="W78" s="64">
        <v>180.93959000000001</v>
      </c>
      <c r="X78" s="64">
        <v>182.135818</v>
      </c>
      <c r="Y78" s="64">
        <v>183.343109</v>
      </c>
      <c r="Z78" s="64">
        <v>182.620743</v>
      </c>
      <c r="AA78" s="64">
        <v>180.14482100000001</v>
      </c>
      <c r="AB78" s="64">
        <v>181.14369199999999</v>
      </c>
      <c r="AC78" s="64">
        <v>179.76947000000001</v>
      </c>
      <c r="AD78" s="64">
        <v>177.87683100000001</v>
      </c>
      <c r="AE78" s="64">
        <v>177.23709099999999</v>
      </c>
      <c r="AF78" s="64">
        <v>178.371002</v>
      </c>
      <c r="AG78" s="64">
        <v>178.69615200000001</v>
      </c>
      <c r="AH78" s="64">
        <v>178.94889800000001</v>
      </c>
      <c r="AI78" s="64">
        <v>179.16529800000001</v>
      </c>
      <c r="AJ78" s="64">
        <v>179.77787799999999</v>
      </c>
      <c r="AK78" s="64">
        <v>179.40159600000001</v>
      </c>
      <c r="AL78" s="13">
        <v>-3.2499999999999999E-3</v>
      </c>
    </row>
    <row r="79" spans="1:38" ht="15" customHeight="1" x14ac:dyDescent="0.25">
      <c r="A79" s="7" t="s">
        <v>1827</v>
      </c>
      <c r="B79" s="11" t="s">
        <v>1828</v>
      </c>
      <c r="C79" s="64">
        <v>186.39118999999999</v>
      </c>
      <c r="D79" s="64">
        <v>202.29319799999999</v>
      </c>
      <c r="E79" s="64">
        <v>197.11537200000001</v>
      </c>
      <c r="F79" s="64">
        <v>205.49968000000001</v>
      </c>
      <c r="G79" s="64">
        <v>213.35531599999999</v>
      </c>
      <c r="H79" s="64">
        <v>207.756226</v>
      </c>
      <c r="I79" s="64">
        <v>209.307053</v>
      </c>
      <c r="J79" s="64">
        <v>207.889679</v>
      </c>
      <c r="K79" s="64">
        <v>207.43182400000001</v>
      </c>
      <c r="L79" s="64">
        <v>204.28774999999999</v>
      </c>
      <c r="M79" s="64">
        <v>209.90685999999999</v>
      </c>
      <c r="N79" s="64">
        <v>211.81655900000001</v>
      </c>
      <c r="O79" s="64">
        <v>215.10990899999999</v>
      </c>
      <c r="P79" s="64">
        <v>216.87159700000001</v>
      </c>
      <c r="Q79" s="64">
        <v>222.50945999999999</v>
      </c>
      <c r="R79" s="64">
        <v>222.35685699999999</v>
      </c>
      <c r="S79" s="64">
        <v>220.04624899999999</v>
      </c>
      <c r="T79" s="64">
        <v>223.098724</v>
      </c>
      <c r="U79" s="64">
        <v>219.85136399999999</v>
      </c>
      <c r="V79" s="64">
        <v>223.67295799999999</v>
      </c>
      <c r="W79" s="64">
        <v>222.91670199999999</v>
      </c>
      <c r="X79" s="64">
        <v>226.479736</v>
      </c>
      <c r="Y79" s="64">
        <v>227.761765</v>
      </c>
      <c r="Z79" s="64">
        <v>234.57324199999999</v>
      </c>
      <c r="AA79" s="64">
        <v>234.464157</v>
      </c>
      <c r="AB79" s="64">
        <v>234.27673300000001</v>
      </c>
      <c r="AC79" s="64">
        <v>234.69534300000001</v>
      </c>
      <c r="AD79" s="64">
        <v>235.35095200000001</v>
      </c>
      <c r="AE79" s="64">
        <v>235.45777899999999</v>
      </c>
      <c r="AF79" s="64">
        <v>234.08255</v>
      </c>
      <c r="AG79" s="64">
        <v>233.18232699999999</v>
      </c>
      <c r="AH79" s="64">
        <v>234.75088500000001</v>
      </c>
      <c r="AI79" s="64">
        <v>235.483307</v>
      </c>
      <c r="AJ79" s="64">
        <v>235.583405</v>
      </c>
      <c r="AK79" s="64">
        <v>236.07243299999999</v>
      </c>
      <c r="AL79" s="13">
        <v>4.6899999999999997E-3</v>
      </c>
    </row>
    <row r="81" spans="1:38" ht="15" customHeight="1" x14ac:dyDescent="0.25">
      <c r="A81" s="7" t="s">
        <v>1829</v>
      </c>
      <c r="B81" s="11" t="s">
        <v>1830</v>
      </c>
      <c r="C81" s="64">
        <v>257.124664</v>
      </c>
      <c r="D81" s="64">
        <v>283.41012599999999</v>
      </c>
      <c r="E81" s="64">
        <v>256.21856700000001</v>
      </c>
      <c r="F81" s="64">
        <v>258.09609999999998</v>
      </c>
      <c r="G81" s="64">
        <v>269.28604100000001</v>
      </c>
      <c r="H81" s="64">
        <v>263.00027499999999</v>
      </c>
      <c r="I81" s="64">
        <v>266.12301600000001</v>
      </c>
      <c r="J81" s="64">
        <v>272.19311499999998</v>
      </c>
      <c r="K81" s="64">
        <v>276.73983800000002</v>
      </c>
      <c r="L81" s="64">
        <v>268.18899499999998</v>
      </c>
      <c r="M81" s="64">
        <v>267.73397799999998</v>
      </c>
      <c r="N81" s="64">
        <v>265.12771600000002</v>
      </c>
      <c r="O81" s="64">
        <v>267.23358200000001</v>
      </c>
      <c r="P81" s="64">
        <v>268.277985</v>
      </c>
      <c r="Q81" s="64">
        <v>271.52593999999999</v>
      </c>
      <c r="R81" s="64">
        <v>270.01760899999999</v>
      </c>
      <c r="S81" s="64">
        <v>268.89523300000002</v>
      </c>
      <c r="T81" s="64">
        <v>272.97659299999998</v>
      </c>
      <c r="U81" s="64">
        <v>268.38757299999997</v>
      </c>
      <c r="V81" s="64">
        <v>271.48037699999998</v>
      </c>
      <c r="W81" s="64">
        <v>271.66134599999998</v>
      </c>
      <c r="X81" s="64">
        <v>275.926514</v>
      </c>
      <c r="Y81" s="64">
        <v>278.71087599999998</v>
      </c>
      <c r="Z81" s="64">
        <v>285.39224200000001</v>
      </c>
      <c r="AA81" s="64">
        <v>289.80496199999999</v>
      </c>
      <c r="AB81" s="64">
        <v>289.27728300000001</v>
      </c>
      <c r="AC81" s="64">
        <v>288.42846700000001</v>
      </c>
      <c r="AD81" s="64">
        <v>288.28564499999999</v>
      </c>
      <c r="AE81" s="64">
        <v>284.16970800000001</v>
      </c>
      <c r="AF81" s="64">
        <v>284.25561499999998</v>
      </c>
      <c r="AG81" s="64">
        <v>286.46444700000001</v>
      </c>
      <c r="AH81" s="64">
        <v>288.75576799999999</v>
      </c>
      <c r="AI81" s="64">
        <v>290.87631199999998</v>
      </c>
      <c r="AJ81" s="64">
        <v>291.30386399999998</v>
      </c>
      <c r="AK81" s="64">
        <v>289.87380999999999</v>
      </c>
      <c r="AL81" s="13">
        <v>6.8400000000000004E-4</v>
      </c>
    </row>
    <row r="82" spans="1:38" ht="15" customHeight="1" x14ac:dyDescent="0.25">
      <c r="A82" s="7" t="s">
        <v>1831</v>
      </c>
      <c r="B82" s="11" t="s">
        <v>1832</v>
      </c>
      <c r="C82" s="64">
        <v>501.36807299999998</v>
      </c>
      <c r="D82" s="64">
        <v>500.55361900000003</v>
      </c>
      <c r="E82" s="64">
        <v>513.13207999999997</v>
      </c>
      <c r="F82" s="64">
        <v>480.69378699999999</v>
      </c>
      <c r="G82" s="64">
        <v>461.42681900000002</v>
      </c>
      <c r="H82" s="64">
        <v>452.71252399999997</v>
      </c>
      <c r="I82" s="64">
        <v>433.02499399999999</v>
      </c>
      <c r="J82" s="64">
        <v>432.463348</v>
      </c>
      <c r="K82" s="64">
        <v>453.630066</v>
      </c>
      <c r="L82" s="64">
        <v>470.20834400000001</v>
      </c>
      <c r="M82" s="64">
        <v>480.641998</v>
      </c>
      <c r="N82" s="64">
        <v>483.45367399999998</v>
      </c>
      <c r="O82" s="64">
        <v>478.744598</v>
      </c>
      <c r="P82" s="64">
        <v>480.70199600000001</v>
      </c>
      <c r="Q82" s="64">
        <v>478.46612499999998</v>
      </c>
      <c r="R82" s="64">
        <v>475.44647200000003</v>
      </c>
      <c r="S82" s="64">
        <v>476.80310100000003</v>
      </c>
      <c r="T82" s="64">
        <v>471.39471400000002</v>
      </c>
      <c r="U82" s="64">
        <v>469.39376800000002</v>
      </c>
      <c r="V82" s="64">
        <v>464.70107999999999</v>
      </c>
      <c r="W82" s="64">
        <v>469.31915300000003</v>
      </c>
      <c r="X82" s="64">
        <v>465.42105099999998</v>
      </c>
      <c r="Y82" s="64">
        <v>467.57312000000002</v>
      </c>
      <c r="Z82" s="64">
        <v>461.106628</v>
      </c>
      <c r="AA82" s="64">
        <v>455.98184199999997</v>
      </c>
      <c r="AB82" s="64">
        <v>456.65850799999998</v>
      </c>
      <c r="AC82" s="64">
        <v>454.80401599999999</v>
      </c>
      <c r="AD82" s="64">
        <v>455.54504400000002</v>
      </c>
      <c r="AE82" s="64">
        <v>461.05297899999999</v>
      </c>
      <c r="AF82" s="64">
        <v>460.41626000000002</v>
      </c>
      <c r="AG82" s="64">
        <v>454.85159299999998</v>
      </c>
      <c r="AH82" s="64">
        <v>452.99179099999998</v>
      </c>
      <c r="AI82" s="64">
        <v>451.14700299999998</v>
      </c>
      <c r="AJ82" s="64">
        <v>456.744415</v>
      </c>
      <c r="AK82" s="64">
        <v>456.90780599999999</v>
      </c>
      <c r="AL82" s="13">
        <v>-2.761E-3</v>
      </c>
    </row>
    <row r="84" spans="1:38" ht="15" customHeight="1" x14ac:dyDescent="0.25">
      <c r="A84" s="7" t="s">
        <v>1833</v>
      </c>
      <c r="B84" s="10" t="s">
        <v>263</v>
      </c>
      <c r="C84" s="140">
        <v>741.34020999999996</v>
      </c>
      <c r="D84" s="140">
        <v>783.96368399999994</v>
      </c>
      <c r="E84" s="140">
        <v>769.35064699999998</v>
      </c>
      <c r="F84" s="140">
        <v>738.78991699999995</v>
      </c>
      <c r="G84" s="140">
        <v>730.71283000000005</v>
      </c>
      <c r="H84" s="140">
        <v>715.71289100000001</v>
      </c>
      <c r="I84" s="140">
        <v>699.14807099999996</v>
      </c>
      <c r="J84" s="140">
        <v>704.65643299999999</v>
      </c>
      <c r="K84" s="140">
        <v>730.36981200000002</v>
      </c>
      <c r="L84" s="140">
        <v>738.39733899999999</v>
      </c>
      <c r="M84" s="140">
        <v>748.37597700000003</v>
      </c>
      <c r="N84" s="140">
        <v>748.58148200000005</v>
      </c>
      <c r="O84" s="140">
        <v>745.97814900000003</v>
      </c>
      <c r="P84" s="140">
        <v>748.979919</v>
      </c>
      <c r="Q84" s="140">
        <v>749.99218800000006</v>
      </c>
      <c r="R84" s="140">
        <v>745.46417199999996</v>
      </c>
      <c r="S84" s="140">
        <v>745.69830300000001</v>
      </c>
      <c r="T84" s="140">
        <v>744.37127699999996</v>
      </c>
      <c r="U84" s="140">
        <v>737.78131099999996</v>
      </c>
      <c r="V84" s="140">
        <v>736.18151899999998</v>
      </c>
      <c r="W84" s="140">
        <v>740.98053000000004</v>
      </c>
      <c r="X84" s="140">
        <v>741.347534</v>
      </c>
      <c r="Y84" s="140">
        <v>746.28387499999997</v>
      </c>
      <c r="Z84" s="140">
        <v>746.49890100000005</v>
      </c>
      <c r="AA84" s="140">
        <v>745.78680399999996</v>
      </c>
      <c r="AB84" s="140">
        <v>745.93573000000004</v>
      </c>
      <c r="AC84" s="140">
        <v>743.232483</v>
      </c>
      <c r="AD84" s="140">
        <v>743.83062700000005</v>
      </c>
      <c r="AE84" s="140">
        <v>745.22265600000003</v>
      </c>
      <c r="AF84" s="140">
        <v>744.671875</v>
      </c>
      <c r="AG84" s="140">
        <v>741.31604000000004</v>
      </c>
      <c r="AH84" s="140">
        <v>741.74755900000002</v>
      </c>
      <c r="AI84" s="140">
        <v>742.02331500000003</v>
      </c>
      <c r="AJ84" s="140">
        <v>748.04821800000002</v>
      </c>
      <c r="AK84" s="140">
        <v>746.78155500000003</v>
      </c>
      <c r="AL84" s="15">
        <v>-1.4710000000000001E-3</v>
      </c>
    </row>
    <row r="86" spans="1:38" ht="15" customHeight="1" x14ac:dyDescent="0.25">
      <c r="A86" s="7" t="s">
        <v>1834</v>
      </c>
      <c r="B86" s="10" t="s">
        <v>264</v>
      </c>
      <c r="C86" s="140">
        <v>8.8871400000000005</v>
      </c>
      <c r="D86" s="140">
        <v>8.9670000000000005</v>
      </c>
      <c r="E86" s="140">
        <v>9.4876830000000005</v>
      </c>
      <c r="F86" s="140">
        <v>9.2356680000000004</v>
      </c>
      <c r="G86" s="140">
        <v>9.0586669999999998</v>
      </c>
      <c r="H86" s="140">
        <v>9.7406640000000007</v>
      </c>
      <c r="I86" s="140">
        <v>8.9636420000000001</v>
      </c>
      <c r="J86" s="140">
        <v>9.1913</v>
      </c>
      <c r="K86" s="140">
        <v>9.059609</v>
      </c>
      <c r="L86" s="140">
        <v>9.058738</v>
      </c>
      <c r="M86" s="140">
        <v>9.1024539999999998</v>
      </c>
      <c r="N86" s="140">
        <v>9.0666360000000008</v>
      </c>
      <c r="O86" s="140">
        <v>9.0519040000000004</v>
      </c>
      <c r="P86" s="140">
        <v>9.0536250000000003</v>
      </c>
      <c r="Q86" s="140">
        <v>9.0112179999999995</v>
      </c>
      <c r="R86" s="140">
        <v>8.9896340000000006</v>
      </c>
      <c r="S86" s="140">
        <v>8.9548140000000007</v>
      </c>
      <c r="T86" s="140">
        <v>8.9668500000000009</v>
      </c>
      <c r="U86" s="140">
        <v>8.9644589999999997</v>
      </c>
      <c r="V86" s="140">
        <v>8.9606820000000003</v>
      </c>
      <c r="W86" s="140">
        <v>8.9969280000000005</v>
      </c>
      <c r="X86" s="140">
        <v>8.99953</v>
      </c>
      <c r="Y86" s="140">
        <v>8.9920709999999993</v>
      </c>
      <c r="Z86" s="140">
        <v>8.9604079999999993</v>
      </c>
      <c r="AA86" s="140">
        <v>8.9372690000000006</v>
      </c>
      <c r="AB86" s="140">
        <v>8.9321099999999998</v>
      </c>
      <c r="AC86" s="140">
        <v>8.9328489999999992</v>
      </c>
      <c r="AD86" s="140">
        <v>8.9284330000000001</v>
      </c>
      <c r="AE86" s="140">
        <v>8.9513420000000004</v>
      </c>
      <c r="AF86" s="140">
        <v>8.9657610000000005</v>
      </c>
      <c r="AG86" s="140">
        <v>8.9722849999999994</v>
      </c>
      <c r="AH86" s="140">
        <v>8.9629259999999995</v>
      </c>
      <c r="AI86" s="140">
        <v>8.9668050000000008</v>
      </c>
      <c r="AJ86" s="140">
        <v>8.970701</v>
      </c>
      <c r="AK86" s="140">
        <v>8.9706679999999999</v>
      </c>
      <c r="AL86" s="15">
        <v>1.2E-5</v>
      </c>
    </row>
    <row r="87" spans="1:38" ht="15" customHeight="1" thickBot="1" x14ac:dyDescent="0.3"/>
    <row r="88" spans="1:38" ht="15" customHeight="1" x14ac:dyDescent="0.25">
      <c r="B88" s="369" t="s">
        <v>1835</v>
      </c>
      <c r="C88" s="369"/>
      <c r="D88" s="369"/>
      <c r="E88" s="369"/>
      <c r="F88" s="369"/>
      <c r="G88" s="369"/>
      <c r="H88" s="369"/>
      <c r="I88" s="369"/>
      <c r="J88" s="369"/>
      <c r="K88" s="369"/>
      <c r="L88" s="369"/>
      <c r="M88" s="369"/>
      <c r="N88" s="369"/>
      <c r="O88" s="369"/>
      <c r="P88" s="369"/>
      <c r="Q88" s="369"/>
      <c r="R88" s="369"/>
      <c r="S88" s="369"/>
      <c r="T88" s="369"/>
      <c r="U88" s="369"/>
      <c r="V88" s="369"/>
      <c r="W88" s="369"/>
      <c r="X88" s="369"/>
      <c r="Y88" s="369"/>
      <c r="Z88" s="369"/>
      <c r="AA88" s="369"/>
      <c r="AB88" s="369"/>
      <c r="AC88" s="369"/>
      <c r="AD88" s="369"/>
      <c r="AE88" s="369"/>
      <c r="AF88" s="369"/>
      <c r="AG88" s="369"/>
      <c r="AH88" s="369"/>
      <c r="AI88" s="369"/>
      <c r="AJ88" s="369"/>
      <c r="AK88" s="369"/>
      <c r="AL88" s="369"/>
    </row>
    <row r="89" spans="1:38" ht="15" customHeight="1" x14ac:dyDescent="0.25">
      <c r="B89" s="18" t="s">
        <v>1836</v>
      </c>
    </row>
    <row r="90" spans="1:38" ht="15" customHeight="1" x14ac:dyDescent="0.25">
      <c r="B90" s="18" t="s">
        <v>1837</v>
      </c>
    </row>
    <row r="91" spans="1:38" ht="15" customHeight="1" x14ac:dyDescent="0.25">
      <c r="B91" s="18" t="s">
        <v>1838</v>
      </c>
    </row>
    <row r="92" spans="1:38" ht="15" customHeight="1" x14ac:dyDescent="0.25">
      <c r="B92" s="18" t="s">
        <v>1839</v>
      </c>
    </row>
    <row r="93" spans="1:38" ht="15" customHeight="1" x14ac:dyDescent="0.25">
      <c r="B93" s="18" t="s">
        <v>1840</v>
      </c>
    </row>
    <row r="94" spans="1:38" ht="15" customHeight="1" x14ac:dyDescent="0.25">
      <c r="B94" s="18" t="s">
        <v>1841</v>
      </c>
    </row>
    <row r="95" spans="1:38" ht="15" customHeight="1" x14ac:dyDescent="0.25">
      <c r="B95" s="18" t="s">
        <v>1842</v>
      </c>
    </row>
    <row r="96" spans="1:38" ht="15" customHeight="1" x14ac:dyDescent="0.25">
      <c r="B96" s="18" t="s">
        <v>1843</v>
      </c>
    </row>
    <row r="97" spans="2:2" ht="15" customHeight="1" x14ac:dyDescent="0.25">
      <c r="B97" s="18" t="s">
        <v>1844</v>
      </c>
    </row>
    <row r="98" spans="2:2" ht="15" customHeight="1" x14ac:dyDescent="0.25">
      <c r="B98" s="18" t="s">
        <v>1845</v>
      </c>
    </row>
    <row r="99" spans="2:2" ht="15" customHeight="1" x14ac:dyDescent="0.25">
      <c r="B99" s="18" t="s">
        <v>1846</v>
      </c>
    </row>
    <row r="100" spans="2:2" ht="15" customHeight="1" x14ac:dyDescent="0.25">
      <c r="B100" s="18" t="s">
        <v>1847</v>
      </c>
    </row>
    <row r="101" spans="2:2" ht="15" customHeight="1" x14ac:dyDescent="0.25">
      <c r="B101" s="18" t="s">
        <v>1848</v>
      </c>
    </row>
    <row r="102" spans="2:2" ht="15" customHeight="1" x14ac:dyDescent="0.25">
      <c r="B102" s="18" t="s">
        <v>1849</v>
      </c>
    </row>
    <row r="103" spans="2:2" ht="15" customHeight="1" x14ac:dyDescent="0.25">
      <c r="B103" s="18" t="s">
        <v>1850</v>
      </c>
    </row>
    <row r="104" spans="2:2" ht="15" customHeight="1" x14ac:dyDescent="0.25">
      <c r="B104" s="18" t="s">
        <v>1851</v>
      </c>
    </row>
    <row r="105" spans="2:2" ht="15" customHeight="1" x14ac:dyDescent="0.25">
      <c r="B105" s="18" t="s">
        <v>1852</v>
      </c>
    </row>
    <row r="106" spans="2:2" ht="15" customHeight="1" x14ac:dyDescent="0.25">
      <c r="B106" s="18" t="s">
        <v>1853</v>
      </c>
    </row>
    <row r="107" spans="2:2" ht="15" customHeight="1" x14ac:dyDescent="0.25">
      <c r="B107" s="18" t="s">
        <v>1854</v>
      </c>
    </row>
  </sheetData>
  <mergeCells count="1">
    <mergeCell ref="B88:AL8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5" tint="0.79998168889431442"/>
  </sheetPr>
  <dimension ref="A1:AL128"/>
  <sheetViews>
    <sheetView topLeftCell="B1" workbookViewId="0">
      <selection activeCell="F7" sqref="F7"/>
    </sheetView>
  </sheetViews>
  <sheetFormatPr defaultRowHeight="15" x14ac:dyDescent="0.25"/>
  <cols>
    <col min="1" max="1" width="20.85546875" hidden="1" customWidth="1"/>
    <col min="2" max="2" width="45.7109375" customWidth="1"/>
    <col min="38" max="38" width="8"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907</v>
      </c>
      <c r="B10" s="8" t="s">
        <v>908</v>
      </c>
    </row>
    <row r="11" spans="1:38" ht="15" customHeight="1" x14ac:dyDescent="0.25">
      <c r="B11" s="4" t="s">
        <v>909</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910</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B15" s="10" t="s">
        <v>911</v>
      </c>
    </row>
    <row r="16" spans="1:38" ht="15" customHeight="1" x14ac:dyDescent="0.25">
      <c r="A16" s="7" t="s">
        <v>912</v>
      </c>
      <c r="B16" s="11" t="s">
        <v>913</v>
      </c>
      <c r="C16" s="64">
        <v>234.67497299999999</v>
      </c>
      <c r="D16" s="64">
        <v>240.76679999999999</v>
      </c>
      <c r="E16" s="64">
        <v>270.47073399999999</v>
      </c>
      <c r="F16" s="64">
        <v>255.687714</v>
      </c>
      <c r="G16" s="64">
        <v>251.74328600000001</v>
      </c>
      <c r="H16" s="64">
        <v>247.778198</v>
      </c>
      <c r="I16" s="64">
        <v>244.67051699999999</v>
      </c>
      <c r="J16" s="64">
        <v>242.692688</v>
      </c>
      <c r="K16" s="64">
        <v>241.162857</v>
      </c>
      <c r="L16" s="64">
        <v>239.578903</v>
      </c>
      <c r="M16" s="64">
        <v>238.171661</v>
      </c>
      <c r="N16" s="64">
        <v>236.51267999999999</v>
      </c>
      <c r="O16" s="64">
        <v>234.87861599999999</v>
      </c>
      <c r="P16" s="64">
        <v>233.350739</v>
      </c>
      <c r="Q16" s="64">
        <v>231.785065</v>
      </c>
      <c r="R16" s="64">
        <v>230.05441300000001</v>
      </c>
      <c r="S16" s="64">
        <v>228.28391999999999</v>
      </c>
      <c r="T16" s="64">
        <v>226.64837600000001</v>
      </c>
      <c r="U16" s="64">
        <v>225.22250399999999</v>
      </c>
      <c r="V16" s="64">
        <v>223.80751000000001</v>
      </c>
      <c r="W16" s="64">
        <v>222.529617</v>
      </c>
      <c r="X16" s="64">
        <v>221.12226899999999</v>
      </c>
      <c r="Y16" s="64">
        <v>219.63369800000001</v>
      </c>
      <c r="Z16" s="64">
        <v>218.230469</v>
      </c>
      <c r="AA16" s="64">
        <v>216.88755800000001</v>
      </c>
      <c r="AB16" s="64">
        <v>215.543869</v>
      </c>
      <c r="AC16" s="64">
        <v>214.08883700000001</v>
      </c>
      <c r="AD16" s="64">
        <v>212.76771500000001</v>
      </c>
      <c r="AE16" s="64">
        <v>211.648178</v>
      </c>
      <c r="AF16" s="64">
        <v>210.35346999999999</v>
      </c>
      <c r="AG16" s="64">
        <v>209.009781</v>
      </c>
      <c r="AH16" s="64">
        <v>207.80482499999999</v>
      </c>
      <c r="AI16" s="64">
        <v>206.62316899999999</v>
      </c>
      <c r="AJ16" s="64">
        <v>205.59175099999999</v>
      </c>
      <c r="AK16" s="64">
        <v>204.52659600000001</v>
      </c>
      <c r="AL16" s="13">
        <v>-4.9309999999999996E-3</v>
      </c>
    </row>
    <row r="17" spans="1:38" ht="15" customHeight="1" x14ac:dyDescent="0.25">
      <c r="A17" s="7" t="s">
        <v>914</v>
      </c>
      <c r="B17" s="11" t="s">
        <v>915</v>
      </c>
      <c r="C17" s="64">
        <v>127.24973300000001</v>
      </c>
      <c r="D17" s="64">
        <v>102.363266</v>
      </c>
      <c r="E17" s="64">
        <v>97.901259999999994</v>
      </c>
      <c r="F17" s="64">
        <v>106.38505600000001</v>
      </c>
      <c r="G17" s="64">
        <v>103.47930100000001</v>
      </c>
      <c r="H17" s="64">
        <v>100.90683</v>
      </c>
      <c r="I17" s="64">
        <v>99.438477000000006</v>
      </c>
      <c r="J17" s="64">
        <v>100.16044599999999</v>
      </c>
      <c r="K17" s="64">
        <v>101.942947</v>
      </c>
      <c r="L17" s="64">
        <v>103.27581000000001</v>
      </c>
      <c r="M17" s="64">
        <v>104.50676</v>
      </c>
      <c r="N17" s="64">
        <v>104.947365</v>
      </c>
      <c r="O17" s="64">
        <v>105.343254</v>
      </c>
      <c r="P17" s="64">
        <v>106.205658</v>
      </c>
      <c r="Q17" s="64">
        <v>106.874306</v>
      </c>
      <c r="R17" s="64">
        <v>106.995338</v>
      </c>
      <c r="S17" s="64">
        <v>107.050591</v>
      </c>
      <c r="T17" s="64">
        <v>107.285561</v>
      </c>
      <c r="U17" s="64">
        <v>108.00975</v>
      </c>
      <c r="V17" s="64">
        <v>108.299522</v>
      </c>
      <c r="W17" s="64">
        <v>109.240601</v>
      </c>
      <c r="X17" s="64">
        <v>109.84111799999999</v>
      </c>
      <c r="Y17" s="64">
        <v>110.174316</v>
      </c>
      <c r="Z17" s="64">
        <v>110.66211699999999</v>
      </c>
      <c r="AA17" s="64">
        <v>111.06914500000001</v>
      </c>
      <c r="AB17" s="64">
        <v>111.536018</v>
      </c>
      <c r="AC17" s="64">
        <v>111.744781</v>
      </c>
      <c r="AD17" s="64">
        <v>112.213753</v>
      </c>
      <c r="AE17" s="64">
        <v>112.99297300000001</v>
      </c>
      <c r="AF17" s="64">
        <v>113.361519</v>
      </c>
      <c r="AG17" s="64">
        <v>113.510391</v>
      </c>
      <c r="AH17" s="64">
        <v>114.020027</v>
      </c>
      <c r="AI17" s="64">
        <v>114.157707</v>
      </c>
      <c r="AJ17" s="64">
        <v>114.65915699999999</v>
      </c>
      <c r="AK17" s="64">
        <v>115.56257600000001</v>
      </c>
      <c r="AL17" s="13">
        <v>3.6819999999999999E-3</v>
      </c>
    </row>
    <row r="18" spans="1:38" ht="15" customHeight="1" x14ac:dyDescent="0.25">
      <c r="A18" s="7" t="s">
        <v>916</v>
      </c>
      <c r="B18" s="11" t="s">
        <v>917</v>
      </c>
      <c r="C18" s="64">
        <v>137.29847699999999</v>
      </c>
      <c r="D18" s="64">
        <v>136.07867400000001</v>
      </c>
      <c r="E18" s="64">
        <v>136.20459</v>
      </c>
      <c r="F18" s="64">
        <v>134.07678200000001</v>
      </c>
      <c r="G18" s="64">
        <v>132.289795</v>
      </c>
      <c r="H18" s="64">
        <v>130.73228499999999</v>
      </c>
      <c r="I18" s="64">
        <v>129.863846</v>
      </c>
      <c r="J18" s="64">
        <v>130.279999</v>
      </c>
      <c r="K18" s="64">
        <v>131.212479</v>
      </c>
      <c r="L18" s="64">
        <v>131.78419500000001</v>
      </c>
      <c r="M18" s="64">
        <v>132.312027</v>
      </c>
      <c r="N18" s="64">
        <v>132.38807700000001</v>
      </c>
      <c r="O18" s="64">
        <v>132.387497</v>
      </c>
      <c r="P18" s="64">
        <v>132.50035099999999</v>
      </c>
      <c r="Q18" s="64">
        <v>132.422089</v>
      </c>
      <c r="R18" s="64">
        <v>131.92787200000001</v>
      </c>
      <c r="S18" s="64">
        <v>131.31797800000001</v>
      </c>
      <c r="T18" s="64">
        <v>130.67098999999999</v>
      </c>
      <c r="U18" s="64">
        <v>130.16007999999999</v>
      </c>
      <c r="V18" s="64">
        <v>129.38644400000001</v>
      </c>
      <c r="W18" s="64">
        <v>128.87020899999999</v>
      </c>
      <c r="X18" s="64">
        <v>128.222351</v>
      </c>
      <c r="Y18" s="64">
        <v>127.61288500000001</v>
      </c>
      <c r="Z18" s="64">
        <v>127.272713</v>
      </c>
      <c r="AA18" s="64">
        <v>127.16381800000001</v>
      </c>
      <c r="AB18" s="64">
        <v>127.265694</v>
      </c>
      <c r="AC18" s="64">
        <v>127.39579000000001</v>
      </c>
      <c r="AD18" s="64">
        <v>127.781036</v>
      </c>
      <c r="AE18" s="64">
        <v>128.39219700000001</v>
      </c>
      <c r="AF18" s="64">
        <v>128.83200099999999</v>
      </c>
      <c r="AG18" s="64">
        <v>129.15438800000001</v>
      </c>
      <c r="AH18" s="64">
        <v>129.677673</v>
      </c>
      <c r="AI18" s="64">
        <v>130.202484</v>
      </c>
      <c r="AJ18" s="64">
        <v>130.887833</v>
      </c>
      <c r="AK18" s="64">
        <v>131.578033</v>
      </c>
      <c r="AL18" s="13">
        <v>-1.0189999999999999E-3</v>
      </c>
    </row>
    <row r="19" spans="1:38" ht="15" customHeight="1" x14ac:dyDescent="0.25">
      <c r="A19" s="7" t="s">
        <v>918</v>
      </c>
      <c r="B19" s="11" t="s">
        <v>919</v>
      </c>
      <c r="C19" s="64">
        <v>49.571747000000002</v>
      </c>
      <c r="D19" s="64">
        <v>47.605873000000003</v>
      </c>
      <c r="E19" s="64">
        <v>46.758774000000003</v>
      </c>
      <c r="F19" s="64">
        <v>44.591647999999999</v>
      </c>
      <c r="G19" s="64">
        <v>43.063107000000002</v>
      </c>
      <c r="H19" s="64">
        <v>41.519592000000003</v>
      </c>
      <c r="I19" s="64">
        <v>40.305827999999998</v>
      </c>
      <c r="J19" s="64">
        <v>40.011432999999997</v>
      </c>
      <c r="K19" s="64">
        <v>40.210521999999997</v>
      </c>
      <c r="L19" s="64">
        <v>40.286445999999998</v>
      </c>
      <c r="M19" s="64">
        <v>40.333644999999997</v>
      </c>
      <c r="N19" s="64">
        <v>40.099995</v>
      </c>
      <c r="O19" s="64">
        <v>39.880890000000001</v>
      </c>
      <c r="P19" s="64">
        <v>39.880878000000003</v>
      </c>
      <c r="Q19" s="64">
        <v>39.860095999999999</v>
      </c>
      <c r="R19" s="64">
        <v>39.667267000000002</v>
      </c>
      <c r="S19" s="64">
        <v>39.515479999999997</v>
      </c>
      <c r="T19" s="64">
        <v>39.484904999999998</v>
      </c>
      <c r="U19" s="64">
        <v>39.670242000000002</v>
      </c>
      <c r="V19" s="64">
        <v>39.753360999999998</v>
      </c>
      <c r="W19" s="64">
        <v>40.130462999999999</v>
      </c>
      <c r="X19" s="64">
        <v>40.379562</v>
      </c>
      <c r="Y19" s="64">
        <v>40.572310999999999</v>
      </c>
      <c r="Z19" s="64">
        <v>40.820076</v>
      </c>
      <c r="AA19" s="64">
        <v>41.068367000000002</v>
      </c>
      <c r="AB19" s="64">
        <v>41.318348</v>
      </c>
      <c r="AC19" s="64">
        <v>41.458770999999999</v>
      </c>
      <c r="AD19" s="64">
        <v>41.678150000000002</v>
      </c>
      <c r="AE19" s="64">
        <v>42.006756000000003</v>
      </c>
      <c r="AF19" s="64">
        <v>42.167262999999998</v>
      </c>
      <c r="AG19" s="64">
        <v>42.204085999999997</v>
      </c>
      <c r="AH19" s="64">
        <v>42.390202000000002</v>
      </c>
      <c r="AI19" s="64">
        <v>42.591621000000004</v>
      </c>
      <c r="AJ19" s="64">
        <v>42.925724000000002</v>
      </c>
      <c r="AK19" s="64">
        <v>43.236935000000003</v>
      </c>
      <c r="AL19" s="13">
        <v>-2.9129999999999998E-3</v>
      </c>
    </row>
    <row r="20" spans="1:38" ht="15" customHeight="1" x14ac:dyDescent="0.25">
      <c r="A20" s="7" t="s">
        <v>920</v>
      </c>
      <c r="B20" s="11" t="s">
        <v>921</v>
      </c>
      <c r="C20" s="64">
        <v>28.459790999999999</v>
      </c>
      <c r="D20" s="64">
        <v>28.200324999999999</v>
      </c>
      <c r="E20" s="64">
        <v>28.288561000000001</v>
      </c>
      <c r="F20" s="64">
        <v>27.920432999999999</v>
      </c>
      <c r="G20" s="64">
        <v>27.737487999999999</v>
      </c>
      <c r="H20" s="64">
        <v>27.52026</v>
      </c>
      <c r="I20" s="64">
        <v>27.39217</v>
      </c>
      <c r="J20" s="64">
        <v>27.571891999999998</v>
      </c>
      <c r="K20" s="64">
        <v>27.914221000000001</v>
      </c>
      <c r="L20" s="64">
        <v>28.192436000000001</v>
      </c>
      <c r="M20" s="64">
        <v>28.440228000000001</v>
      </c>
      <c r="N20" s="64">
        <v>28.565262000000001</v>
      </c>
      <c r="O20" s="64">
        <v>28.674389000000001</v>
      </c>
      <c r="P20" s="64">
        <v>28.851969</v>
      </c>
      <c r="Q20" s="64">
        <v>29.006402999999999</v>
      </c>
      <c r="R20" s="64">
        <v>29.075870999999999</v>
      </c>
      <c r="S20" s="64">
        <v>29.135044000000001</v>
      </c>
      <c r="T20" s="64">
        <v>29.220015</v>
      </c>
      <c r="U20" s="64">
        <v>29.369745000000002</v>
      </c>
      <c r="V20" s="64">
        <v>29.457697</v>
      </c>
      <c r="W20" s="64">
        <v>29.640459</v>
      </c>
      <c r="X20" s="64">
        <v>29.772017999999999</v>
      </c>
      <c r="Y20" s="64">
        <v>29.880414999999999</v>
      </c>
      <c r="Z20" s="64">
        <v>30.011284</v>
      </c>
      <c r="AA20" s="64">
        <v>30.145422</v>
      </c>
      <c r="AB20" s="64">
        <v>30.283432000000001</v>
      </c>
      <c r="AC20" s="64">
        <v>30.381986999999999</v>
      </c>
      <c r="AD20" s="64">
        <v>30.516102</v>
      </c>
      <c r="AE20" s="64">
        <v>30.698139000000001</v>
      </c>
      <c r="AF20" s="64">
        <v>30.819092000000001</v>
      </c>
      <c r="AG20" s="64">
        <v>30.895256</v>
      </c>
      <c r="AH20" s="64">
        <v>31.032829</v>
      </c>
      <c r="AI20" s="64">
        <v>31.178256999999999</v>
      </c>
      <c r="AJ20" s="64">
        <v>31.376745</v>
      </c>
      <c r="AK20" s="64">
        <v>31.568138000000001</v>
      </c>
      <c r="AL20" s="13">
        <v>3.4250000000000001E-3</v>
      </c>
    </row>
    <row r="21" spans="1:38" ht="15" customHeight="1" x14ac:dyDescent="0.25">
      <c r="A21" s="7" t="s">
        <v>922</v>
      </c>
      <c r="B21" s="11" t="s">
        <v>923</v>
      </c>
      <c r="C21" s="64">
        <v>30.161422999999999</v>
      </c>
      <c r="D21" s="64">
        <v>29.466473000000001</v>
      </c>
      <c r="E21" s="64">
        <v>29.311993000000001</v>
      </c>
      <c r="F21" s="64">
        <v>28.210637999999999</v>
      </c>
      <c r="G21" s="64">
        <v>27.301497999999999</v>
      </c>
      <c r="H21" s="64">
        <v>26.385580000000001</v>
      </c>
      <c r="I21" s="64">
        <v>25.733730000000001</v>
      </c>
      <c r="J21" s="64">
        <v>25.636982</v>
      </c>
      <c r="K21" s="64">
        <v>25.821096000000001</v>
      </c>
      <c r="L21" s="64">
        <v>25.923241000000001</v>
      </c>
      <c r="M21" s="64">
        <v>26.024743999999998</v>
      </c>
      <c r="N21" s="64">
        <v>25.985814999999999</v>
      </c>
      <c r="O21" s="64">
        <v>25.973490000000002</v>
      </c>
      <c r="P21" s="64">
        <v>26.102459</v>
      </c>
      <c r="Q21" s="64">
        <v>26.234580999999999</v>
      </c>
      <c r="R21" s="64">
        <v>26.228505999999999</v>
      </c>
      <c r="S21" s="64">
        <v>26.219335999999998</v>
      </c>
      <c r="T21" s="64">
        <v>26.260529999999999</v>
      </c>
      <c r="U21" s="64">
        <v>26.410748999999999</v>
      </c>
      <c r="V21" s="64">
        <v>26.479431000000002</v>
      </c>
      <c r="W21" s="64">
        <v>26.691669000000001</v>
      </c>
      <c r="X21" s="64">
        <v>26.831410999999999</v>
      </c>
      <c r="Y21" s="64">
        <v>26.936775000000001</v>
      </c>
      <c r="Z21" s="64">
        <v>27.077279999999998</v>
      </c>
      <c r="AA21" s="64">
        <v>27.223027999999999</v>
      </c>
      <c r="AB21" s="64">
        <v>27.374593999999998</v>
      </c>
      <c r="AC21" s="64">
        <v>27.470963000000001</v>
      </c>
      <c r="AD21" s="64">
        <v>27.624379999999999</v>
      </c>
      <c r="AE21" s="64">
        <v>27.846415</v>
      </c>
      <c r="AF21" s="64">
        <v>27.971941000000001</v>
      </c>
      <c r="AG21" s="64">
        <v>28.032871</v>
      </c>
      <c r="AH21" s="64">
        <v>28.185503000000001</v>
      </c>
      <c r="AI21" s="64">
        <v>28.336046</v>
      </c>
      <c r="AJ21" s="64">
        <v>28.571422999999999</v>
      </c>
      <c r="AK21" s="64">
        <v>28.812435000000001</v>
      </c>
      <c r="AL21" s="13">
        <v>-6.8000000000000005E-4</v>
      </c>
    </row>
    <row r="22" spans="1:38" ht="15" customHeight="1" x14ac:dyDescent="0.25">
      <c r="A22" s="7" t="s">
        <v>924</v>
      </c>
      <c r="B22" s="11" t="s">
        <v>925</v>
      </c>
      <c r="C22" s="64">
        <v>10.583492</v>
      </c>
      <c r="D22" s="64">
        <v>10.188962999999999</v>
      </c>
      <c r="E22" s="64">
        <v>10.014479</v>
      </c>
      <c r="F22" s="64">
        <v>9.5402369999999994</v>
      </c>
      <c r="G22" s="64">
        <v>9.1865459999999999</v>
      </c>
      <c r="H22" s="64">
        <v>8.8158189999999994</v>
      </c>
      <c r="I22" s="64">
        <v>8.5124460000000006</v>
      </c>
      <c r="J22" s="64">
        <v>8.4000909999999998</v>
      </c>
      <c r="K22" s="64">
        <v>8.3864040000000006</v>
      </c>
      <c r="L22" s="64">
        <v>8.3393499999999996</v>
      </c>
      <c r="M22" s="64">
        <v>8.2785910000000005</v>
      </c>
      <c r="N22" s="64">
        <v>8.1540239999999997</v>
      </c>
      <c r="O22" s="64">
        <v>8.0275700000000008</v>
      </c>
      <c r="P22" s="64">
        <v>7.9403579999999998</v>
      </c>
      <c r="Q22" s="64">
        <v>7.845828</v>
      </c>
      <c r="R22" s="64">
        <v>7.7150049999999997</v>
      </c>
      <c r="S22" s="64">
        <v>7.5906650000000004</v>
      </c>
      <c r="T22" s="64">
        <v>7.4885440000000001</v>
      </c>
      <c r="U22" s="64">
        <v>7.4252320000000003</v>
      </c>
      <c r="V22" s="64">
        <v>7.3424639999999997</v>
      </c>
      <c r="W22" s="64">
        <v>7.3135500000000002</v>
      </c>
      <c r="X22" s="64">
        <v>7.2729020000000002</v>
      </c>
      <c r="Y22" s="64">
        <v>7.2351289999999997</v>
      </c>
      <c r="Z22" s="64">
        <v>7.2202919999999997</v>
      </c>
      <c r="AA22" s="64">
        <v>7.2184900000000001</v>
      </c>
      <c r="AB22" s="64">
        <v>7.2284139999999999</v>
      </c>
      <c r="AC22" s="64">
        <v>7.2213589999999996</v>
      </c>
      <c r="AD22" s="64">
        <v>7.2305010000000003</v>
      </c>
      <c r="AE22" s="64">
        <v>7.2609349999999999</v>
      </c>
      <c r="AF22" s="64">
        <v>7.2647259999999996</v>
      </c>
      <c r="AG22" s="64">
        <v>7.2495770000000004</v>
      </c>
      <c r="AH22" s="64">
        <v>7.2620750000000003</v>
      </c>
      <c r="AI22" s="64">
        <v>7.2793700000000001</v>
      </c>
      <c r="AJ22" s="64">
        <v>7.3210940000000004</v>
      </c>
      <c r="AK22" s="64">
        <v>7.3603990000000001</v>
      </c>
      <c r="AL22" s="13">
        <v>-9.8060000000000005E-3</v>
      </c>
    </row>
    <row r="23" spans="1:38" ht="15" customHeight="1" x14ac:dyDescent="0.25">
      <c r="A23" s="7" t="s">
        <v>926</v>
      </c>
      <c r="B23" s="11" t="s">
        <v>927</v>
      </c>
      <c r="C23" s="64">
        <v>65.447097999999997</v>
      </c>
      <c r="D23" s="64">
        <v>61.855049000000001</v>
      </c>
      <c r="E23" s="64">
        <v>60.366230000000002</v>
      </c>
      <c r="F23" s="64">
        <v>56.434341000000003</v>
      </c>
      <c r="G23" s="64">
        <v>51.851920999999997</v>
      </c>
      <c r="H23" s="64">
        <v>48.930759000000002</v>
      </c>
      <c r="I23" s="64">
        <v>47.157066</v>
      </c>
      <c r="J23" s="64">
        <v>46.707588000000001</v>
      </c>
      <c r="K23" s="64">
        <v>46.918427000000001</v>
      </c>
      <c r="L23" s="64">
        <v>47.140602000000001</v>
      </c>
      <c r="M23" s="64">
        <v>47.360405</v>
      </c>
      <c r="N23" s="64">
        <v>47.243018999999997</v>
      </c>
      <c r="O23" s="64">
        <v>47.112296999999998</v>
      </c>
      <c r="P23" s="64">
        <v>47.208720999999997</v>
      </c>
      <c r="Q23" s="64">
        <v>45.388596</v>
      </c>
      <c r="R23" s="64">
        <v>43.519241000000001</v>
      </c>
      <c r="S23" s="64">
        <v>41.904029999999999</v>
      </c>
      <c r="T23" s="64">
        <v>40.670752999999998</v>
      </c>
      <c r="U23" s="64">
        <v>39.938454</v>
      </c>
      <c r="V23" s="64">
        <v>39.132626000000002</v>
      </c>
      <c r="W23" s="64">
        <v>38.671154000000001</v>
      </c>
      <c r="X23" s="64">
        <v>38.177276999999997</v>
      </c>
      <c r="Y23" s="64">
        <v>37.703265999999999</v>
      </c>
      <c r="Z23" s="64">
        <v>37.338706999999999</v>
      </c>
      <c r="AA23" s="64">
        <v>35.648440999999998</v>
      </c>
      <c r="AB23" s="64">
        <v>34.233516999999999</v>
      </c>
      <c r="AC23" s="64">
        <v>32.994864999999997</v>
      </c>
      <c r="AD23" s="64">
        <v>32.106628000000001</v>
      </c>
      <c r="AE23" s="64">
        <v>31.600857000000001</v>
      </c>
      <c r="AF23" s="64">
        <v>31.124001</v>
      </c>
      <c r="AG23" s="64">
        <v>30.649512999999999</v>
      </c>
      <c r="AH23" s="64">
        <v>30.359112</v>
      </c>
      <c r="AI23" s="64">
        <v>30.123242999999999</v>
      </c>
      <c r="AJ23" s="64">
        <v>30.025169000000002</v>
      </c>
      <c r="AK23" s="64">
        <v>29.953678</v>
      </c>
      <c r="AL23" s="13">
        <v>-2.1734E-2</v>
      </c>
    </row>
    <row r="24" spans="1:38" ht="15" customHeight="1" x14ac:dyDescent="0.25">
      <c r="A24" s="7" t="s">
        <v>928</v>
      </c>
      <c r="B24" s="11" t="s">
        <v>929</v>
      </c>
      <c r="C24" s="64">
        <v>3.7335349999999998</v>
      </c>
      <c r="D24" s="64">
        <v>3.541944</v>
      </c>
      <c r="E24" s="64">
        <v>3.3663289999999999</v>
      </c>
      <c r="F24" s="64">
        <v>3.0949960000000001</v>
      </c>
      <c r="G24" s="64">
        <v>2.8576160000000002</v>
      </c>
      <c r="H24" s="64">
        <v>2.6161059999999998</v>
      </c>
      <c r="I24" s="64">
        <v>2.4222459999999999</v>
      </c>
      <c r="J24" s="64">
        <v>2.3056719999999999</v>
      </c>
      <c r="K24" s="64">
        <v>2.2345869999999999</v>
      </c>
      <c r="L24" s="64">
        <v>2.1729259999999999</v>
      </c>
      <c r="M24" s="64">
        <v>2.1269399999999998</v>
      </c>
      <c r="N24" s="64">
        <v>2.0851929999999999</v>
      </c>
      <c r="O24" s="64">
        <v>2.064168</v>
      </c>
      <c r="P24" s="64">
        <v>2.0468760000000001</v>
      </c>
      <c r="Q24" s="64">
        <v>2.0226510000000002</v>
      </c>
      <c r="R24" s="64">
        <v>1.986971</v>
      </c>
      <c r="S24" s="64">
        <v>1.95394</v>
      </c>
      <c r="T24" s="64">
        <v>1.9303349999999999</v>
      </c>
      <c r="U24" s="64">
        <v>1.9218599999999999</v>
      </c>
      <c r="V24" s="64">
        <v>1.9126399999999999</v>
      </c>
      <c r="W24" s="64">
        <v>1.9203330000000001</v>
      </c>
      <c r="X24" s="64">
        <v>1.9253929999999999</v>
      </c>
      <c r="Y24" s="64">
        <v>1.9296450000000001</v>
      </c>
      <c r="Z24" s="64">
        <v>1.937443</v>
      </c>
      <c r="AA24" s="64">
        <v>1.9457390000000001</v>
      </c>
      <c r="AB24" s="64">
        <v>1.954429</v>
      </c>
      <c r="AC24" s="64">
        <v>1.95828</v>
      </c>
      <c r="AD24" s="64">
        <v>1.9661770000000001</v>
      </c>
      <c r="AE24" s="64">
        <v>1.9795419999999999</v>
      </c>
      <c r="AF24" s="64">
        <v>1.9853019999999999</v>
      </c>
      <c r="AG24" s="64">
        <v>1.985574</v>
      </c>
      <c r="AH24" s="64">
        <v>1.9932369999999999</v>
      </c>
      <c r="AI24" s="64">
        <v>2.0019659999999999</v>
      </c>
      <c r="AJ24" s="64">
        <v>2.017296</v>
      </c>
      <c r="AK24" s="64">
        <v>2.0318610000000001</v>
      </c>
      <c r="AL24" s="13">
        <v>-1.6698999999999999E-2</v>
      </c>
    </row>
    <row r="25" spans="1:38" ht="15" customHeight="1" x14ac:dyDescent="0.25">
      <c r="A25" s="7" t="s">
        <v>930</v>
      </c>
      <c r="B25" s="11" t="s">
        <v>931</v>
      </c>
      <c r="C25" s="64">
        <v>13.576221</v>
      </c>
      <c r="D25" s="64">
        <v>13.254844</v>
      </c>
      <c r="E25" s="64">
        <v>13.225375</v>
      </c>
      <c r="F25" s="64">
        <v>12.794715</v>
      </c>
      <c r="G25" s="64">
        <v>12.513985</v>
      </c>
      <c r="H25" s="64">
        <v>12.202260000000001</v>
      </c>
      <c r="I25" s="64">
        <v>12.002049</v>
      </c>
      <c r="J25" s="64">
        <v>12.09361</v>
      </c>
      <c r="K25" s="64">
        <v>12.355948</v>
      </c>
      <c r="L25" s="64">
        <v>12.600417</v>
      </c>
      <c r="M25" s="64">
        <v>12.854782</v>
      </c>
      <c r="N25" s="64">
        <v>13.033396</v>
      </c>
      <c r="O25" s="64">
        <v>13.222082</v>
      </c>
      <c r="P25" s="64">
        <v>13.448016000000001</v>
      </c>
      <c r="Q25" s="64">
        <v>13.628733</v>
      </c>
      <c r="R25" s="64">
        <v>13.712069</v>
      </c>
      <c r="S25" s="64">
        <v>13.774311000000001</v>
      </c>
      <c r="T25" s="64">
        <v>13.851036000000001</v>
      </c>
      <c r="U25" s="64">
        <v>13.980644</v>
      </c>
      <c r="V25" s="64">
        <v>14.053682</v>
      </c>
      <c r="W25" s="64">
        <v>14.211639</v>
      </c>
      <c r="X25" s="64">
        <v>14.325768</v>
      </c>
      <c r="Y25" s="64">
        <v>14.421141</v>
      </c>
      <c r="Z25" s="64">
        <v>14.538178</v>
      </c>
      <c r="AA25" s="64">
        <v>14.658144999999999</v>
      </c>
      <c r="AB25" s="64">
        <v>14.781382000000001</v>
      </c>
      <c r="AC25" s="64">
        <v>14.868563</v>
      </c>
      <c r="AD25" s="64">
        <v>14.987117</v>
      </c>
      <c r="AE25" s="64">
        <v>15.148126</v>
      </c>
      <c r="AF25" s="64">
        <v>15.250958000000001</v>
      </c>
      <c r="AG25" s="64">
        <v>15.311429</v>
      </c>
      <c r="AH25" s="64">
        <v>15.428546000000001</v>
      </c>
      <c r="AI25" s="64">
        <v>15.552686</v>
      </c>
      <c r="AJ25" s="64">
        <v>15.727944000000001</v>
      </c>
      <c r="AK25" s="64">
        <v>15.898007</v>
      </c>
      <c r="AL25" s="13">
        <v>5.5250000000000004E-3</v>
      </c>
    </row>
    <row r="26" spans="1:38" ht="15" customHeight="1" x14ac:dyDescent="0.25">
      <c r="A26" s="7" t="s">
        <v>932</v>
      </c>
      <c r="B26" s="11" t="s">
        <v>933</v>
      </c>
      <c r="C26" s="64">
        <v>40.546967000000002</v>
      </c>
      <c r="D26" s="64">
        <v>38.815989999999999</v>
      </c>
      <c r="E26" s="64">
        <v>37.976821999999999</v>
      </c>
      <c r="F26" s="64">
        <v>35.925868999999999</v>
      </c>
      <c r="G26" s="64">
        <v>34.311259999999997</v>
      </c>
      <c r="H26" s="64">
        <v>32.817753000000003</v>
      </c>
      <c r="I26" s="64">
        <v>31.715273</v>
      </c>
      <c r="J26" s="64">
        <v>31.412154999999998</v>
      </c>
      <c r="K26" s="64">
        <v>31.561468000000001</v>
      </c>
      <c r="L26" s="64">
        <v>31.647905000000002</v>
      </c>
      <c r="M26" s="64">
        <v>31.777035000000001</v>
      </c>
      <c r="N26" s="64">
        <v>31.753699999999998</v>
      </c>
      <c r="O26" s="64">
        <v>31.816509</v>
      </c>
      <c r="P26" s="64">
        <v>32.097636999999999</v>
      </c>
      <c r="Q26" s="64">
        <v>32.385638999999998</v>
      </c>
      <c r="R26" s="64">
        <v>32.552436999999998</v>
      </c>
      <c r="S26" s="64">
        <v>32.773273000000003</v>
      </c>
      <c r="T26" s="64">
        <v>33.109122999999997</v>
      </c>
      <c r="U26" s="64">
        <v>33.634785000000001</v>
      </c>
      <c r="V26" s="64">
        <v>34.058674000000003</v>
      </c>
      <c r="W26" s="64">
        <v>34.708843000000002</v>
      </c>
      <c r="X26" s="64">
        <v>35.250450000000001</v>
      </c>
      <c r="Y26" s="64">
        <v>35.719676999999997</v>
      </c>
      <c r="Z26" s="64">
        <v>36.210613000000002</v>
      </c>
      <c r="AA26" s="64">
        <v>36.663651000000002</v>
      </c>
      <c r="AB26" s="64">
        <v>37.055377999999997</v>
      </c>
      <c r="AC26" s="64">
        <v>37.291134</v>
      </c>
      <c r="AD26" s="64">
        <v>37.568908999999998</v>
      </c>
      <c r="AE26" s="64">
        <v>37.942337000000002</v>
      </c>
      <c r="AF26" s="64">
        <v>38.152465999999997</v>
      </c>
      <c r="AG26" s="64">
        <v>38.249039000000003</v>
      </c>
      <c r="AH26" s="64">
        <v>38.478470000000002</v>
      </c>
      <c r="AI26" s="64">
        <v>38.698112000000002</v>
      </c>
      <c r="AJ26" s="64">
        <v>39.040562000000001</v>
      </c>
      <c r="AK26" s="64">
        <v>39.381729</v>
      </c>
      <c r="AL26" s="13">
        <v>4.3899999999999999E-4</v>
      </c>
    </row>
    <row r="27" spans="1:38" ht="15" customHeight="1" x14ac:dyDescent="0.25">
      <c r="A27" s="7" t="s">
        <v>934</v>
      </c>
      <c r="B27" s="11" t="s">
        <v>935</v>
      </c>
      <c r="C27" s="64">
        <v>15.476544000000001</v>
      </c>
      <c r="D27" s="64">
        <v>14.642435000000001</v>
      </c>
      <c r="E27" s="64">
        <v>14.136062000000001</v>
      </c>
      <c r="F27" s="64">
        <v>13.17276</v>
      </c>
      <c r="G27" s="64">
        <v>12.370129</v>
      </c>
      <c r="H27" s="64">
        <v>11.605202999999999</v>
      </c>
      <c r="I27" s="64">
        <v>10.972386</v>
      </c>
      <c r="J27" s="64">
        <v>10.607194</v>
      </c>
      <c r="K27" s="64">
        <v>10.377803999999999</v>
      </c>
      <c r="L27" s="64">
        <v>10.107972</v>
      </c>
      <c r="M27" s="64">
        <v>9.8363610000000001</v>
      </c>
      <c r="N27" s="64">
        <v>9.5066249999999997</v>
      </c>
      <c r="O27" s="64">
        <v>9.1902109999999997</v>
      </c>
      <c r="P27" s="64">
        <v>8.9292719999999992</v>
      </c>
      <c r="Q27" s="64">
        <v>8.6594879999999996</v>
      </c>
      <c r="R27" s="64">
        <v>8.3505959999999995</v>
      </c>
      <c r="S27" s="64">
        <v>8.0538760000000007</v>
      </c>
      <c r="T27" s="64">
        <v>7.7813350000000003</v>
      </c>
      <c r="U27" s="64">
        <v>7.5481059999999998</v>
      </c>
      <c r="V27" s="64">
        <v>7.2891450000000004</v>
      </c>
      <c r="W27" s="64">
        <v>7.0718680000000003</v>
      </c>
      <c r="X27" s="64">
        <v>6.8393300000000004</v>
      </c>
      <c r="Y27" s="64">
        <v>6.6032080000000004</v>
      </c>
      <c r="Z27" s="64">
        <v>6.3799939999999999</v>
      </c>
      <c r="AA27" s="64">
        <v>6.1596830000000002</v>
      </c>
      <c r="AB27" s="64">
        <v>5.9431900000000004</v>
      </c>
      <c r="AC27" s="64">
        <v>5.7118349999999998</v>
      </c>
      <c r="AD27" s="64">
        <v>5.492324</v>
      </c>
      <c r="AE27" s="64">
        <v>5.2875180000000004</v>
      </c>
      <c r="AF27" s="64">
        <v>5.0555209999999997</v>
      </c>
      <c r="AG27" s="64">
        <v>4.8056039999999998</v>
      </c>
      <c r="AH27" s="64">
        <v>4.5657959999999997</v>
      </c>
      <c r="AI27" s="64">
        <v>4.315849</v>
      </c>
      <c r="AJ27" s="64">
        <v>4.0654539999999999</v>
      </c>
      <c r="AK27" s="64">
        <v>3.8004090000000001</v>
      </c>
      <c r="AL27" s="13">
        <v>-4.0049000000000001E-2</v>
      </c>
    </row>
    <row r="28" spans="1:38" ht="15" customHeight="1" x14ac:dyDescent="0.25">
      <c r="A28" s="7" t="s">
        <v>936</v>
      </c>
      <c r="B28" s="11" t="s">
        <v>937</v>
      </c>
      <c r="C28" s="64">
        <v>14.904228</v>
      </c>
      <c r="D28" s="64">
        <v>14.732843000000001</v>
      </c>
      <c r="E28" s="64">
        <v>17.427955999999998</v>
      </c>
      <c r="F28" s="64">
        <v>15.826214</v>
      </c>
      <c r="G28" s="64">
        <v>15.253389</v>
      </c>
      <c r="H28" s="64">
        <v>14.647652000000001</v>
      </c>
      <c r="I28" s="64">
        <v>14.207037</v>
      </c>
      <c r="J28" s="64">
        <v>14.087453999999999</v>
      </c>
      <c r="K28" s="64">
        <v>14.119171</v>
      </c>
      <c r="L28" s="64">
        <v>14.089022999999999</v>
      </c>
      <c r="M28" s="64">
        <v>14.034558000000001</v>
      </c>
      <c r="N28" s="64">
        <v>13.857324999999999</v>
      </c>
      <c r="O28" s="64">
        <v>13.661058000000001</v>
      </c>
      <c r="P28" s="64">
        <v>13.505609</v>
      </c>
      <c r="Q28" s="64">
        <v>13.318796000000001</v>
      </c>
      <c r="R28" s="64">
        <v>13.054649</v>
      </c>
      <c r="S28" s="64">
        <v>12.782545000000001</v>
      </c>
      <c r="T28" s="64">
        <v>12.540243</v>
      </c>
      <c r="U28" s="64">
        <v>12.357371000000001</v>
      </c>
      <c r="V28" s="64">
        <v>12.143179</v>
      </c>
      <c r="W28" s="64">
        <v>12.002044</v>
      </c>
      <c r="X28" s="64">
        <v>11.835258</v>
      </c>
      <c r="Y28" s="64">
        <v>11.665877</v>
      </c>
      <c r="Z28" s="64">
        <v>11.529944</v>
      </c>
      <c r="AA28" s="64">
        <v>11.41085</v>
      </c>
      <c r="AB28" s="64">
        <v>11.304214</v>
      </c>
      <c r="AC28" s="64">
        <v>11.178117</v>
      </c>
      <c r="AD28" s="64">
        <v>11.086976999999999</v>
      </c>
      <c r="AE28" s="64">
        <v>11.039634</v>
      </c>
      <c r="AF28" s="64">
        <v>10.954753</v>
      </c>
      <c r="AG28" s="64">
        <v>10.849055</v>
      </c>
      <c r="AH28" s="64">
        <v>10.789145</v>
      </c>
      <c r="AI28" s="64">
        <v>10.740978</v>
      </c>
      <c r="AJ28" s="64">
        <v>10.733873000000001</v>
      </c>
      <c r="AK28" s="64">
        <v>10.723087</v>
      </c>
      <c r="AL28" s="13">
        <v>-9.58E-3</v>
      </c>
    </row>
    <row r="29" spans="1:38" ht="15" customHeight="1" x14ac:dyDescent="0.25">
      <c r="A29" s="7" t="s">
        <v>938</v>
      </c>
      <c r="B29" s="11" t="s">
        <v>939</v>
      </c>
      <c r="C29" s="64">
        <v>216.65347299999999</v>
      </c>
      <c r="D29" s="64">
        <v>221.98031599999999</v>
      </c>
      <c r="E29" s="64">
        <v>230.06449900000001</v>
      </c>
      <c r="F29" s="64">
        <v>226.554947</v>
      </c>
      <c r="G29" s="64">
        <v>221.884354</v>
      </c>
      <c r="H29" s="64">
        <v>216.27919</v>
      </c>
      <c r="I29" s="64">
        <v>212.21490499999999</v>
      </c>
      <c r="J29" s="64">
        <v>212.08393899999999</v>
      </c>
      <c r="K29" s="64">
        <v>214.201538</v>
      </c>
      <c r="L29" s="64">
        <v>215.32313500000001</v>
      </c>
      <c r="M29" s="64">
        <v>217.41596999999999</v>
      </c>
      <c r="N29" s="64">
        <v>217.89038099999999</v>
      </c>
      <c r="O29" s="64">
        <v>218.36431899999999</v>
      </c>
      <c r="P29" s="64">
        <v>219.56163000000001</v>
      </c>
      <c r="Q29" s="64">
        <v>220.13110399999999</v>
      </c>
      <c r="R29" s="64">
        <v>219.504898</v>
      </c>
      <c r="S29" s="64">
        <v>218.83590699999999</v>
      </c>
      <c r="T29" s="64">
        <v>218.42480499999999</v>
      </c>
      <c r="U29" s="64">
        <v>219.392044</v>
      </c>
      <c r="V29" s="64">
        <v>219.35768100000001</v>
      </c>
      <c r="W29" s="64">
        <v>220.51011700000001</v>
      </c>
      <c r="X29" s="64">
        <v>220.97108499999999</v>
      </c>
      <c r="Y29" s="64">
        <v>221.080566</v>
      </c>
      <c r="Z29" s="64">
        <v>221.481674</v>
      </c>
      <c r="AA29" s="64">
        <v>221.91482500000001</v>
      </c>
      <c r="AB29" s="64">
        <v>222.32716400000001</v>
      </c>
      <c r="AC29" s="64">
        <v>222.235794</v>
      </c>
      <c r="AD29" s="64">
        <v>222.59371899999999</v>
      </c>
      <c r="AE29" s="64">
        <v>223.479355</v>
      </c>
      <c r="AF29" s="64">
        <v>223.50740099999999</v>
      </c>
      <c r="AG29" s="64">
        <v>222.877701</v>
      </c>
      <c r="AH29" s="64">
        <v>222.94366500000001</v>
      </c>
      <c r="AI29" s="64">
        <v>222.89433299999999</v>
      </c>
      <c r="AJ29" s="64">
        <v>223.41589400000001</v>
      </c>
      <c r="AK29" s="64">
        <v>223.98474100000001</v>
      </c>
      <c r="AL29" s="13">
        <v>2.72E-4</v>
      </c>
    </row>
    <row r="30" spans="1:38" ht="15" customHeight="1" x14ac:dyDescent="0.25">
      <c r="A30" s="7" t="s">
        <v>940</v>
      </c>
      <c r="B30" s="11" t="s">
        <v>941</v>
      </c>
      <c r="C30" s="64">
        <v>9.8472899999999992</v>
      </c>
      <c r="D30" s="64">
        <v>0.28625499999999998</v>
      </c>
      <c r="E30" s="64">
        <v>0.26409899999999997</v>
      </c>
      <c r="F30" s="64">
        <v>0.25561499999999998</v>
      </c>
      <c r="G30" s="64">
        <v>0.25176999999999999</v>
      </c>
      <c r="H30" s="64">
        <v>0.247864</v>
      </c>
      <c r="I30" s="64">
        <v>0.24468999999999999</v>
      </c>
      <c r="J30" s="64">
        <v>0.24182100000000001</v>
      </c>
      <c r="K30" s="64">
        <v>0.239014</v>
      </c>
      <c r="L30" s="64">
        <v>0.23663300000000001</v>
      </c>
      <c r="M30" s="64">
        <v>0.23394799999999999</v>
      </c>
      <c r="N30" s="64">
        <v>0.23181199999999999</v>
      </c>
      <c r="O30" s="64">
        <v>0.22961400000000001</v>
      </c>
      <c r="P30" s="64">
        <v>0.22747800000000001</v>
      </c>
      <c r="Q30" s="64">
        <v>0.22522</v>
      </c>
      <c r="R30" s="64">
        <v>0.22296099999999999</v>
      </c>
      <c r="S30" s="64">
        <v>0.22106899999999999</v>
      </c>
      <c r="T30" s="64">
        <v>0.21856700000000001</v>
      </c>
      <c r="U30" s="64">
        <v>0.21667500000000001</v>
      </c>
      <c r="V30" s="64">
        <v>0.21435499999999999</v>
      </c>
      <c r="W30" s="64">
        <v>0.212646</v>
      </c>
      <c r="X30" s="64">
        <v>0.21069299999999999</v>
      </c>
      <c r="Y30" s="64">
        <v>0.20855699999999999</v>
      </c>
      <c r="Z30" s="64">
        <v>0.206848</v>
      </c>
      <c r="AA30" s="64">
        <v>0.20544399999999999</v>
      </c>
      <c r="AB30" s="64">
        <v>0.20349100000000001</v>
      </c>
      <c r="AC30" s="64">
        <v>0.20184299999999999</v>
      </c>
      <c r="AD30" s="64">
        <v>0.20086699999999999</v>
      </c>
      <c r="AE30" s="64">
        <v>0.199463</v>
      </c>
      <c r="AF30" s="64">
        <v>0.19836400000000001</v>
      </c>
      <c r="AG30" s="64">
        <v>0.19720499999999999</v>
      </c>
      <c r="AH30" s="64">
        <v>0.19616700000000001</v>
      </c>
      <c r="AI30" s="64">
        <v>0.19506799999999999</v>
      </c>
      <c r="AJ30" s="64">
        <v>0.193909</v>
      </c>
      <c r="AK30" s="64">
        <v>0.19281000000000001</v>
      </c>
      <c r="AL30" s="13">
        <v>-1.1904E-2</v>
      </c>
    </row>
    <row r="31" spans="1:38" ht="15" customHeight="1" x14ac:dyDescent="0.25">
      <c r="A31" s="7" t="s">
        <v>942</v>
      </c>
      <c r="B31" s="10" t="s">
        <v>943</v>
      </c>
      <c r="C31" s="140">
        <v>998.18499799999995</v>
      </c>
      <c r="D31" s="140">
        <v>963.78008999999997</v>
      </c>
      <c r="E31" s="140">
        <v>995.77770999999996</v>
      </c>
      <c r="F31" s="140">
        <v>970.47192399999994</v>
      </c>
      <c r="G31" s="140">
        <v>946.09551999999996</v>
      </c>
      <c r="H31" s="140">
        <v>923.00537099999997</v>
      </c>
      <c r="I31" s="140">
        <v>906.85278300000004</v>
      </c>
      <c r="J31" s="140">
        <v>904.29284700000005</v>
      </c>
      <c r="K31" s="140">
        <v>908.65838599999995</v>
      </c>
      <c r="L31" s="140">
        <v>910.69891399999995</v>
      </c>
      <c r="M31" s="140">
        <v>913.70764199999996</v>
      </c>
      <c r="N31" s="140">
        <v>912.25476100000003</v>
      </c>
      <c r="O31" s="140">
        <v>910.82598900000005</v>
      </c>
      <c r="P31" s="140">
        <v>911.85760500000004</v>
      </c>
      <c r="Q31" s="140">
        <v>909.788635</v>
      </c>
      <c r="R31" s="140">
        <v>904.56817599999999</v>
      </c>
      <c r="S31" s="140">
        <v>899.41186500000003</v>
      </c>
      <c r="T31" s="140">
        <v>895.58508300000005</v>
      </c>
      <c r="U31" s="140">
        <v>895.25830099999996</v>
      </c>
      <c r="V31" s="140">
        <v>892.68847700000003</v>
      </c>
      <c r="W31" s="140">
        <v>893.72522000000004</v>
      </c>
      <c r="X31" s="140">
        <v>892.97686799999997</v>
      </c>
      <c r="Y31" s="140">
        <v>891.37744099999998</v>
      </c>
      <c r="Z31" s="140">
        <v>890.91766399999995</v>
      </c>
      <c r="AA31" s="140">
        <v>889.38256799999999</v>
      </c>
      <c r="AB31" s="140">
        <v>888.35314900000003</v>
      </c>
      <c r="AC31" s="140">
        <v>886.20300299999997</v>
      </c>
      <c r="AD31" s="140">
        <v>885.814392</v>
      </c>
      <c r="AE31" s="140">
        <v>887.52233899999999</v>
      </c>
      <c r="AF31" s="140">
        <v>886.99865699999998</v>
      </c>
      <c r="AG31" s="140">
        <v>884.98144500000001</v>
      </c>
      <c r="AH31" s="140">
        <v>885.12719700000002</v>
      </c>
      <c r="AI31" s="140">
        <v>884.89080799999999</v>
      </c>
      <c r="AJ31" s="140">
        <v>886.55383300000005</v>
      </c>
      <c r="AK31" s="140">
        <v>888.61144999999999</v>
      </c>
      <c r="AL31" s="15">
        <v>-2.4580000000000001E-3</v>
      </c>
    </row>
    <row r="33" spans="1:38" ht="15" customHeight="1" x14ac:dyDescent="0.25">
      <c r="B33" s="10" t="s">
        <v>307</v>
      </c>
    </row>
    <row r="34" spans="1:38" ht="15" customHeight="1" x14ac:dyDescent="0.25">
      <c r="A34" s="7" t="s">
        <v>944</v>
      </c>
      <c r="B34" s="11" t="s">
        <v>945</v>
      </c>
      <c r="C34" s="64">
        <v>117.741623</v>
      </c>
      <c r="D34" s="64">
        <v>117.45266700000001</v>
      </c>
      <c r="E34" s="64">
        <v>127.981773</v>
      </c>
      <c r="F34" s="64">
        <v>122.956429</v>
      </c>
      <c r="G34" s="64">
        <v>120.784874</v>
      </c>
      <c r="H34" s="64">
        <v>118.660904</v>
      </c>
      <c r="I34" s="64">
        <v>116.945564</v>
      </c>
      <c r="J34" s="64">
        <v>115.75310500000001</v>
      </c>
      <c r="K34" s="64">
        <v>114.823059</v>
      </c>
      <c r="L34" s="64">
        <v>113.954819</v>
      </c>
      <c r="M34" s="64">
        <v>113.319199</v>
      </c>
      <c r="N34" s="64">
        <v>112.624374</v>
      </c>
      <c r="O34" s="64">
        <v>112.028992</v>
      </c>
      <c r="P34" s="64">
        <v>111.40625</v>
      </c>
      <c r="Q34" s="64">
        <v>110.843613</v>
      </c>
      <c r="R34" s="64">
        <v>110.24194300000001</v>
      </c>
      <c r="S34" s="64">
        <v>109.677986</v>
      </c>
      <c r="T34" s="64">
        <v>109.14856</v>
      </c>
      <c r="U34" s="64">
        <v>108.666962</v>
      </c>
      <c r="V34" s="64">
        <v>108.15949999999999</v>
      </c>
      <c r="W34" s="64">
        <v>107.658485</v>
      </c>
      <c r="X34" s="64">
        <v>107.094131</v>
      </c>
      <c r="Y34" s="64">
        <v>106.530777</v>
      </c>
      <c r="Z34" s="64">
        <v>106.034775</v>
      </c>
      <c r="AA34" s="64">
        <v>105.58867600000001</v>
      </c>
      <c r="AB34" s="64">
        <v>105.144592</v>
      </c>
      <c r="AC34" s="64">
        <v>104.642105</v>
      </c>
      <c r="AD34" s="64">
        <v>104.220001</v>
      </c>
      <c r="AE34" s="64">
        <v>103.88587200000001</v>
      </c>
      <c r="AF34" s="64">
        <v>103.47538</v>
      </c>
      <c r="AG34" s="64">
        <v>103.055618</v>
      </c>
      <c r="AH34" s="64">
        <v>102.69450399999999</v>
      </c>
      <c r="AI34" s="64">
        <v>102.36237300000001</v>
      </c>
      <c r="AJ34" s="64">
        <v>102.074265</v>
      </c>
      <c r="AK34" s="64">
        <v>101.77452099999999</v>
      </c>
      <c r="AL34" s="13">
        <v>-4.3319999999999999E-3</v>
      </c>
    </row>
    <row r="35" spans="1:38" ht="15" customHeight="1" x14ac:dyDescent="0.25">
      <c r="A35" s="7" t="s">
        <v>946</v>
      </c>
      <c r="B35" s="11" t="s">
        <v>947</v>
      </c>
      <c r="C35" s="64">
        <v>81.667213000000004</v>
      </c>
      <c r="D35" s="64">
        <v>69.632003999999995</v>
      </c>
      <c r="E35" s="64">
        <v>65.935654</v>
      </c>
      <c r="F35" s="64">
        <v>69.648330999999999</v>
      </c>
      <c r="G35" s="64">
        <v>67.566710999999998</v>
      </c>
      <c r="H35" s="64">
        <v>65.664840999999996</v>
      </c>
      <c r="I35" s="64">
        <v>64.310776000000004</v>
      </c>
      <c r="J35" s="64">
        <v>64.167052999999996</v>
      </c>
      <c r="K35" s="64">
        <v>64.676567000000006</v>
      </c>
      <c r="L35" s="64">
        <v>64.856009999999998</v>
      </c>
      <c r="M35" s="64">
        <v>64.954323000000002</v>
      </c>
      <c r="N35" s="64">
        <v>64.568000999999995</v>
      </c>
      <c r="O35" s="64">
        <v>64.188834999999997</v>
      </c>
      <c r="P35" s="64">
        <v>64.087485999999998</v>
      </c>
      <c r="Q35" s="64">
        <v>63.862712999999999</v>
      </c>
      <c r="R35" s="64">
        <v>63.301017999999999</v>
      </c>
      <c r="S35" s="64">
        <v>62.783661000000002</v>
      </c>
      <c r="T35" s="64">
        <v>62.403145000000002</v>
      </c>
      <c r="U35" s="64">
        <v>62.301830000000002</v>
      </c>
      <c r="V35" s="64">
        <v>61.937125999999999</v>
      </c>
      <c r="W35" s="64">
        <v>61.949553999999999</v>
      </c>
      <c r="X35" s="64">
        <v>61.800877</v>
      </c>
      <c r="Y35" s="64">
        <v>61.572361000000001</v>
      </c>
      <c r="Z35" s="64">
        <v>61.465556999999997</v>
      </c>
      <c r="AA35" s="64">
        <v>61.327590999999998</v>
      </c>
      <c r="AB35" s="64">
        <v>61.256549999999997</v>
      </c>
      <c r="AC35" s="64">
        <v>61.092495</v>
      </c>
      <c r="AD35" s="64">
        <v>61.097759000000003</v>
      </c>
      <c r="AE35" s="64">
        <v>61.291245000000004</v>
      </c>
      <c r="AF35" s="64">
        <v>61.288609000000001</v>
      </c>
      <c r="AG35" s="64">
        <v>61.207965999999999</v>
      </c>
      <c r="AH35" s="64">
        <v>61.363692999999998</v>
      </c>
      <c r="AI35" s="64">
        <v>61.434047999999997</v>
      </c>
      <c r="AJ35" s="64">
        <v>61.747985999999997</v>
      </c>
      <c r="AK35" s="64">
        <v>62.242409000000002</v>
      </c>
      <c r="AL35" s="13">
        <v>-3.3939999999999999E-3</v>
      </c>
    </row>
    <row r="36" spans="1:38" ht="15" customHeight="1" x14ac:dyDescent="0.25">
      <c r="A36" s="7" t="s">
        <v>948</v>
      </c>
      <c r="B36" s="11" t="s">
        <v>949</v>
      </c>
      <c r="C36" s="64">
        <v>35.161541</v>
      </c>
      <c r="D36" s="64">
        <v>35.317321999999997</v>
      </c>
      <c r="E36" s="64">
        <v>35.473624999999998</v>
      </c>
      <c r="F36" s="64">
        <v>35.234028000000002</v>
      </c>
      <c r="G36" s="64">
        <v>35.039715000000001</v>
      </c>
      <c r="H36" s="64">
        <v>34.855060999999999</v>
      </c>
      <c r="I36" s="64">
        <v>34.739314999999998</v>
      </c>
      <c r="J36" s="64">
        <v>34.645859000000002</v>
      </c>
      <c r="K36" s="64">
        <v>34.534675999999997</v>
      </c>
      <c r="L36" s="64">
        <v>34.477038999999998</v>
      </c>
      <c r="M36" s="64">
        <v>34.535666999999997</v>
      </c>
      <c r="N36" s="64">
        <v>34.621628000000001</v>
      </c>
      <c r="O36" s="64">
        <v>34.751358000000003</v>
      </c>
      <c r="P36" s="64">
        <v>34.843314999999997</v>
      </c>
      <c r="Q36" s="64">
        <v>34.967391999999997</v>
      </c>
      <c r="R36" s="64">
        <v>35.091445999999998</v>
      </c>
      <c r="S36" s="64">
        <v>35.227744999999999</v>
      </c>
      <c r="T36" s="64">
        <v>35.366692</v>
      </c>
      <c r="U36" s="64">
        <v>35.503135999999998</v>
      </c>
      <c r="V36" s="64">
        <v>35.627769000000001</v>
      </c>
      <c r="W36" s="64">
        <v>35.738822999999996</v>
      </c>
      <c r="X36" s="64">
        <v>35.834727999999998</v>
      </c>
      <c r="Y36" s="64">
        <v>35.921126999999998</v>
      </c>
      <c r="Z36" s="64">
        <v>36.026764</v>
      </c>
      <c r="AA36" s="64">
        <v>36.147381000000003</v>
      </c>
      <c r="AB36" s="64">
        <v>36.262241000000003</v>
      </c>
      <c r="AC36" s="64">
        <v>36.351269000000002</v>
      </c>
      <c r="AD36" s="64">
        <v>36.465671999999998</v>
      </c>
      <c r="AE36" s="64">
        <v>36.600113</v>
      </c>
      <c r="AF36" s="64">
        <v>36.713928000000003</v>
      </c>
      <c r="AG36" s="64">
        <v>36.82011</v>
      </c>
      <c r="AH36" s="64">
        <v>36.945552999999997</v>
      </c>
      <c r="AI36" s="64">
        <v>37.078631999999999</v>
      </c>
      <c r="AJ36" s="64">
        <v>37.212563000000003</v>
      </c>
      <c r="AK36" s="64">
        <v>37.339699000000003</v>
      </c>
      <c r="AL36" s="13">
        <v>1.689E-3</v>
      </c>
    </row>
    <row r="37" spans="1:38" ht="15" customHeight="1" x14ac:dyDescent="0.25">
      <c r="A37" s="7" t="s">
        <v>950</v>
      </c>
      <c r="B37" s="11" t="s">
        <v>951</v>
      </c>
      <c r="C37" s="64">
        <v>74.458168000000001</v>
      </c>
      <c r="D37" s="64">
        <v>72.395072999999996</v>
      </c>
      <c r="E37" s="64">
        <v>71.725387999999995</v>
      </c>
      <c r="F37" s="64">
        <v>68.911582999999993</v>
      </c>
      <c r="G37" s="64">
        <v>66.643929</v>
      </c>
      <c r="H37" s="64">
        <v>64.436035000000004</v>
      </c>
      <c r="I37" s="64">
        <v>62.747256999999998</v>
      </c>
      <c r="J37" s="64">
        <v>62.529507000000002</v>
      </c>
      <c r="K37" s="64">
        <v>63.010936999999998</v>
      </c>
      <c r="L37" s="64">
        <v>63.119705000000003</v>
      </c>
      <c r="M37" s="64">
        <v>62.059708000000001</v>
      </c>
      <c r="N37" s="64">
        <v>60.592224000000002</v>
      </c>
      <c r="O37" s="64">
        <v>59.191032</v>
      </c>
      <c r="P37" s="64">
        <v>58.117221999999998</v>
      </c>
      <c r="Q37" s="64">
        <v>56.905357000000002</v>
      </c>
      <c r="R37" s="64">
        <v>55.448470999999998</v>
      </c>
      <c r="S37" s="64">
        <v>54.086548000000001</v>
      </c>
      <c r="T37" s="64">
        <v>52.906528000000002</v>
      </c>
      <c r="U37" s="64">
        <v>52.004767999999999</v>
      </c>
      <c r="V37" s="64">
        <v>50.94614</v>
      </c>
      <c r="W37" s="64">
        <v>50.242396999999997</v>
      </c>
      <c r="X37" s="64">
        <v>49.437088000000003</v>
      </c>
      <c r="Y37" s="64">
        <v>48.622765000000001</v>
      </c>
      <c r="Z37" s="64">
        <v>47.938155999999999</v>
      </c>
      <c r="AA37" s="64">
        <v>47.172145999999998</v>
      </c>
      <c r="AB37" s="64">
        <v>46.484378999999997</v>
      </c>
      <c r="AC37" s="64">
        <v>45.749988999999999</v>
      </c>
      <c r="AD37" s="64">
        <v>45.162483000000002</v>
      </c>
      <c r="AE37" s="64">
        <v>44.748080999999999</v>
      </c>
      <c r="AF37" s="64">
        <v>44.207272000000003</v>
      </c>
      <c r="AG37" s="64">
        <v>43.611961000000001</v>
      </c>
      <c r="AH37" s="64">
        <v>43.234439999999999</v>
      </c>
      <c r="AI37" s="64">
        <v>42.899334000000003</v>
      </c>
      <c r="AJ37" s="64">
        <v>42.756714000000002</v>
      </c>
      <c r="AK37" s="64">
        <v>42.658271999999997</v>
      </c>
      <c r="AL37" s="13">
        <v>-1.5900000000000001E-2</v>
      </c>
    </row>
    <row r="38" spans="1:38" ht="15" customHeight="1" x14ac:dyDescent="0.25">
      <c r="A38" s="7" t="s">
        <v>952</v>
      </c>
      <c r="B38" s="11" t="s">
        <v>921</v>
      </c>
      <c r="C38" s="64">
        <v>28.804891999999999</v>
      </c>
      <c r="D38" s="64">
        <v>28.748083000000001</v>
      </c>
      <c r="E38" s="64">
        <v>28.941067</v>
      </c>
      <c r="F38" s="64">
        <v>28.707138</v>
      </c>
      <c r="G38" s="64">
        <v>28.549548999999999</v>
      </c>
      <c r="H38" s="64">
        <v>28.348597999999999</v>
      </c>
      <c r="I38" s="64">
        <v>28.237508999999999</v>
      </c>
      <c r="J38" s="64">
        <v>28.312683</v>
      </c>
      <c r="K38" s="64">
        <v>28.444344000000001</v>
      </c>
      <c r="L38" s="64">
        <v>28.560814000000001</v>
      </c>
      <c r="M38" s="64">
        <v>28.732029000000001</v>
      </c>
      <c r="N38" s="64">
        <v>28.865822000000001</v>
      </c>
      <c r="O38" s="64">
        <v>29.027526999999999</v>
      </c>
      <c r="P38" s="64">
        <v>29.208359000000002</v>
      </c>
      <c r="Q38" s="64">
        <v>29.393221</v>
      </c>
      <c r="R38" s="64">
        <v>29.538039999999999</v>
      </c>
      <c r="S38" s="64">
        <v>29.693114999999999</v>
      </c>
      <c r="T38" s="64">
        <v>29.863530999999998</v>
      </c>
      <c r="U38" s="64">
        <v>30.066693999999998</v>
      </c>
      <c r="V38" s="64">
        <v>30.229343</v>
      </c>
      <c r="W38" s="64">
        <v>30.412872</v>
      </c>
      <c r="X38" s="64">
        <v>30.563220999999999</v>
      </c>
      <c r="Y38" s="64">
        <v>30.700710000000001</v>
      </c>
      <c r="Z38" s="64">
        <v>30.843879999999999</v>
      </c>
      <c r="AA38" s="64">
        <v>30.995633999999999</v>
      </c>
      <c r="AB38" s="64">
        <v>31.151966000000002</v>
      </c>
      <c r="AC38" s="64">
        <v>31.277858999999999</v>
      </c>
      <c r="AD38" s="64">
        <v>31.436249</v>
      </c>
      <c r="AE38" s="64">
        <v>31.626017000000001</v>
      </c>
      <c r="AF38" s="64">
        <v>31.778296000000001</v>
      </c>
      <c r="AG38" s="64">
        <v>31.905657000000001</v>
      </c>
      <c r="AH38" s="64">
        <v>32.070667</v>
      </c>
      <c r="AI38" s="64">
        <v>32.241512</v>
      </c>
      <c r="AJ38" s="64">
        <v>32.418129</v>
      </c>
      <c r="AK38" s="64">
        <v>32.593730999999998</v>
      </c>
      <c r="AL38" s="13">
        <v>3.8119999999999999E-3</v>
      </c>
    </row>
    <row r="39" spans="1:38" ht="15" customHeight="1" x14ac:dyDescent="0.25">
      <c r="A39" s="7" t="s">
        <v>953</v>
      </c>
      <c r="B39" s="11" t="s">
        <v>927</v>
      </c>
      <c r="C39" s="64">
        <v>71.621528999999995</v>
      </c>
      <c r="D39" s="64">
        <v>68.562156999999999</v>
      </c>
      <c r="E39" s="64">
        <v>67.294846000000007</v>
      </c>
      <c r="F39" s="64">
        <v>64.313209999999998</v>
      </c>
      <c r="G39" s="64">
        <v>60.923316999999997</v>
      </c>
      <c r="H39" s="64">
        <v>57.933208</v>
      </c>
      <c r="I39" s="64">
        <v>55.686858999999998</v>
      </c>
      <c r="J39" s="64">
        <v>54.939166999999998</v>
      </c>
      <c r="K39" s="64">
        <v>54.928837000000001</v>
      </c>
      <c r="L39" s="64">
        <v>54.710743000000001</v>
      </c>
      <c r="M39" s="64">
        <v>54.500751000000001</v>
      </c>
      <c r="N39" s="64">
        <v>53.95055</v>
      </c>
      <c r="O39" s="64">
        <v>53.459240000000001</v>
      </c>
      <c r="P39" s="64">
        <v>53.258141000000002</v>
      </c>
      <c r="Q39" s="64">
        <v>51.697066999999997</v>
      </c>
      <c r="R39" s="64">
        <v>50.058619999999998</v>
      </c>
      <c r="S39" s="64">
        <v>48.611153000000002</v>
      </c>
      <c r="T39" s="64">
        <v>47.403041999999999</v>
      </c>
      <c r="U39" s="64">
        <v>46.515816000000001</v>
      </c>
      <c r="V39" s="64">
        <v>45.538609000000001</v>
      </c>
      <c r="W39" s="64">
        <v>44.903056999999997</v>
      </c>
      <c r="X39" s="64">
        <v>44.209530000000001</v>
      </c>
      <c r="Y39" s="64">
        <v>43.526321000000003</v>
      </c>
      <c r="Z39" s="64">
        <v>42.975887</v>
      </c>
      <c r="AA39" s="64">
        <v>41.513741000000003</v>
      </c>
      <c r="AB39" s="64">
        <v>40.264290000000003</v>
      </c>
      <c r="AC39" s="64">
        <v>39.097560999999999</v>
      </c>
      <c r="AD39" s="64">
        <v>38.145434999999999</v>
      </c>
      <c r="AE39" s="64">
        <v>37.386932000000002</v>
      </c>
      <c r="AF39" s="64">
        <v>36.536017999999999</v>
      </c>
      <c r="AG39" s="64">
        <v>35.675624999999997</v>
      </c>
      <c r="AH39" s="64">
        <v>35.040989000000003</v>
      </c>
      <c r="AI39" s="64">
        <v>34.469261000000003</v>
      </c>
      <c r="AJ39" s="64">
        <v>34.086506</v>
      </c>
      <c r="AK39" s="64">
        <v>33.771178999999997</v>
      </c>
      <c r="AL39" s="13">
        <v>-2.1229999999999999E-2</v>
      </c>
    </row>
    <row r="40" spans="1:38" ht="15" customHeight="1" x14ac:dyDescent="0.25">
      <c r="A40" s="7" t="s">
        <v>954</v>
      </c>
      <c r="B40" s="11" t="s">
        <v>919</v>
      </c>
      <c r="C40" s="64">
        <v>91.993874000000005</v>
      </c>
      <c r="D40" s="64">
        <v>90.604675</v>
      </c>
      <c r="E40" s="64">
        <v>90.752823000000006</v>
      </c>
      <c r="F40" s="64">
        <v>88.196960000000004</v>
      </c>
      <c r="G40" s="64">
        <v>86.295235000000005</v>
      </c>
      <c r="H40" s="64">
        <v>83.930428000000006</v>
      </c>
      <c r="I40" s="64">
        <v>81.979393000000002</v>
      </c>
      <c r="J40" s="64">
        <v>81.879508999999999</v>
      </c>
      <c r="K40" s="64">
        <v>82.752716000000007</v>
      </c>
      <c r="L40" s="64">
        <v>83.27919</v>
      </c>
      <c r="M40" s="64">
        <v>83.719757000000001</v>
      </c>
      <c r="N40" s="64">
        <v>83.559357000000006</v>
      </c>
      <c r="O40" s="64">
        <v>83.411750999999995</v>
      </c>
      <c r="P40" s="64">
        <v>83.665588</v>
      </c>
      <c r="Q40" s="64">
        <v>83.525734</v>
      </c>
      <c r="R40" s="64">
        <v>82.981185999999994</v>
      </c>
      <c r="S40" s="64">
        <v>82.493827999999993</v>
      </c>
      <c r="T40" s="64">
        <v>82.195328000000003</v>
      </c>
      <c r="U40" s="64">
        <v>82.245163000000005</v>
      </c>
      <c r="V40" s="64">
        <v>81.965187</v>
      </c>
      <c r="W40" s="64">
        <v>82.186119000000005</v>
      </c>
      <c r="X40" s="64">
        <v>82.169646999999998</v>
      </c>
      <c r="Y40" s="64">
        <v>82.072768999999994</v>
      </c>
      <c r="Z40" s="64">
        <v>82.130966000000001</v>
      </c>
      <c r="AA40" s="64">
        <v>82.153557000000006</v>
      </c>
      <c r="AB40" s="64">
        <v>82.228667999999999</v>
      </c>
      <c r="AC40" s="64">
        <v>82.133071999999999</v>
      </c>
      <c r="AD40" s="64">
        <v>82.229979999999998</v>
      </c>
      <c r="AE40" s="64">
        <v>82.567138999999997</v>
      </c>
      <c r="AF40" s="64">
        <v>82.601303000000001</v>
      </c>
      <c r="AG40" s="64">
        <v>82.451674999999994</v>
      </c>
      <c r="AH40" s="64">
        <v>82.621063000000007</v>
      </c>
      <c r="AI40" s="64">
        <v>82.834266999999997</v>
      </c>
      <c r="AJ40" s="64">
        <v>83.355582999999996</v>
      </c>
      <c r="AK40" s="64">
        <v>83.864113000000003</v>
      </c>
      <c r="AL40" s="13">
        <v>-2.3400000000000001E-3</v>
      </c>
    </row>
    <row r="41" spans="1:38" ht="15" customHeight="1" x14ac:dyDescent="0.25">
      <c r="A41" s="7" t="s">
        <v>955</v>
      </c>
      <c r="B41" s="11" t="s">
        <v>1752</v>
      </c>
      <c r="C41" s="64">
        <v>50.656204000000002</v>
      </c>
      <c r="D41" s="64">
        <v>48.237816000000002</v>
      </c>
      <c r="E41" s="64">
        <v>47.028407999999999</v>
      </c>
      <c r="F41" s="64">
        <v>44.558205000000001</v>
      </c>
      <c r="G41" s="64">
        <v>42.801524999999998</v>
      </c>
      <c r="H41" s="64">
        <v>41.142848999999998</v>
      </c>
      <c r="I41" s="64">
        <v>39.848404000000002</v>
      </c>
      <c r="J41" s="64">
        <v>39.505626999999997</v>
      </c>
      <c r="K41" s="64">
        <v>39.694491999999997</v>
      </c>
      <c r="L41" s="64">
        <v>39.788609000000001</v>
      </c>
      <c r="M41" s="64">
        <v>39.847008000000002</v>
      </c>
      <c r="N41" s="64">
        <v>39.683159000000003</v>
      </c>
      <c r="O41" s="64">
        <v>39.598407999999999</v>
      </c>
      <c r="P41" s="64">
        <v>39.727848000000002</v>
      </c>
      <c r="Q41" s="64">
        <v>39.759101999999999</v>
      </c>
      <c r="R41" s="64">
        <v>39.678024000000001</v>
      </c>
      <c r="S41" s="64">
        <v>39.646225000000001</v>
      </c>
      <c r="T41" s="64">
        <v>39.675476000000003</v>
      </c>
      <c r="U41" s="64">
        <v>39.851120000000002</v>
      </c>
      <c r="V41" s="64">
        <v>39.907283999999997</v>
      </c>
      <c r="W41" s="64">
        <v>40.194515000000003</v>
      </c>
      <c r="X41" s="64">
        <v>40.352459000000003</v>
      </c>
      <c r="Y41" s="64">
        <v>40.459164000000001</v>
      </c>
      <c r="Z41" s="64">
        <v>40.566639000000002</v>
      </c>
      <c r="AA41" s="64">
        <v>40.674458000000001</v>
      </c>
      <c r="AB41" s="64">
        <v>40.791977000000003</v>
      </c>
      <c r="AC41" s="64">
        <v>40.691276999999999</v>
      </c>
      <c r="AD41" s="64">
        <v>40.672600000000003</v>
      </c>
      <c r="AE41" s="64">
        <v>40.640697000000003</v>
      </c>
      <c r="AF41" s="64">
        <v>40.389468999999998</v>
      </c>
      <c r="AG41" s="64">
        <v>39.972003999999998</v>
      </c>
      <c r="AH41" s="64">
        <v>39.645226000000001</v>
      </c>
      <c r="AI41" s="64">
        <v>39.1511</v>
      </c>
      <c r="AJ41" s="64">
        <v>38.725951999999999</v>
      </c>
      <c r="AK41" s="64">
        <v>38.099297</v>
      </c>
      <c r="AL41" s="13">
        <v>-7.1240000000000001E-3</v>
      </c>
    </row>
    <row r="42" spans="1:38" ht="15" customHeight="1" x14ac:dyDescent="0.25">
      <c r="A42" s="7" t="s">
        <v>956</v>
      </c>
      <c r="B42" s="11" t="s">
        <v>1753</v>
      </c>
      <c r="C42" s="64">
        <v>47.968220000000002</v>
      </c>
      <c r="D42" s="64">
        <v>50.433826000000003</v>
      </c>
      <c r="E42" s="64">
        <v>53.704059999999998</v>
      </c>
      <c r="F42" s="64">
        <v>55.093032999999998</v>
      </c>
      <c r="G42" s="64">
        <v>56.709229000000001</v>
      </c>
      <c r="H42" s="64">
        <v>57.893925000000003</v>
      </c>
      <c r="I42" s="64">
        <v>59.183669999999999</v>
      </c>
      <c r="J42" s="64">
        <v>61.498145999999998</v>
      </c>
      <c r="K42" s="64">
        <v>64.388244999999998</v>
      </c>
      <c r="L42" s="64">
        <v>66.875716999999995</v>
      </c>
      <c r="M42" s="64">
        <v>69.151390000000006</v>
      </c>
      <c r="N42" s="64">
        <v>70.728485000000006</v>
      </c>
      <c r="O42" s="64">
        <v>72.133292999999995</v>
      </c>
      <c r="P42" s="64">
        <v>73.743858000000003</v>
      </c>
      <c r="Q42" s="64">
        <v>75.09478</v>
      </c>
      <c r="R42" s="64">
        <v>75.915985000000006</v>
      </c>
      <c r="S42" s="64">
        <v>76.681458000000006</v>
      </c>
      <c r="T42" s="64">
        <v>77.462288000000001</v>
      </c>
      <c r="U42" s="64">
        <v>78.494263000000004</v>
      </c>
      <c r="V42" s="64">
        <v>79.138603000000003</v>
      </c>
      <c r="W42" s="64">
        <v>80.241425000000007</v>
      </c>
      <c r="X42" s="64">
        <v>81.054976999999994</v>
      </c>
      <c r="Y42" s="64">
        <v>81.799476999999996</v>
      </c>
      <c r="Z42" s="64">
        <v>82.672263999999998</v>
      </c>
      <c r="AA42" s="64">
        <v>83.623215000000002</v>
      </c>
      <c r="AB42" s="64">
        <v>84.632973000000007</v>
      </c>
      <c r="AC42" s="64">
        <v>85.510323</v>
      </c>
      <c r="AD42" s="64">
        <v>86.631209999999996</v>
      </c>
      <c r="AE42" s="64">
        <v>88.094680999999994</v>
      </c>
      <c r="AF42" s="64">
        <v>89.327461</v>
      </c>
      <c r="AG42" s="64">
        <v>90.429596000000004</v>
      </c>
      <c r="AH42" s="64">
        <v>92.051734999999994</v>
      </c>
      <c r="AI42" s="64">
        <v>93.868033999999994</v>
      </c>
      <c r="AJ42" s="64">
        <v>96.161422999999999</v>
      </c>
      <c r="AK42" s="64">
        <v>98.668137000000002</v>
      </c>
      <c r="AL42" s="13">
        <v>2.0545000000000001E-2</v>
      </c>
    </row>
    <row r="43" spans="1:38" ht="15" customHeight="1" x14ac:dyDescent="0.25">
      <c r="A43" s="7" t="s">
        <v>957</v>
      </c>
      <c r="B43" s="11" t="s">
        <v>958</v>
      </c>
      <c r="C43" s="64">
        <v>301.42639200000002</v>
      </c>
      <c r="D43" s="64">
        <v>304.29302999999999</v>
      </c>
      <c r="E43" s="64">
        <v>313.498535</v>
      </c>
      <c r="F43" s="64">
        <v>306.60235599999999</v>
      </c>
      <c r="G43" s="64">
        <v>298.881348</v>
      </c>
      <c r="H43" s="64">
        <v>293.733521</v>
      </c>
      <c r="I43" s="64">
        <v>291.06097399999999</v>
      </c>
      <c r="J43" s="64">
        <v>293.06616200000002</v>
      </c>
      <c r="K43" s="64">
        <v>297.25518799999998</v>
      </c>
      <c r="L43" s="64">
        <v>301.01825000000002</v>
      </c>
      <c r="M43" s="64">
        <v>304.43725599999999</v>
      </c>
      <c r="N43" s="64">
        <v>306.19830300000001</v>
      </c>
      <c r="O43" s="64">
        <v>307.863159</v>
      </c>
      <c r="P43" s="64">
        <v>310.21508799999998</v>
      </c>
      <c r="Q43" s="64">
        <v>312.39666699999998</v>
      </c>
      <c r="R43" s="64">
        <v>313.30224600000003</v>
      </c>
      <c r="S43" s="64">
        <v>314.42761200000001</v>
      </c>
      <c r="T43" s="64">
        <v>315.93841600000002</v>
      </c>
      <c r="U43" s="64">
        <v>318.36206099999998</v>
      </c>
      <c r="V43" s="64">
        <v>320.00671399999999</v>
      </c>
      <c r="W43" s="64">
        <v>323.09704599999998</v>
      </c>
      <c r="X43" s="64">
        <v>325.39752199999998</v>
      </c>
      <c r="Y43" s="64">
        <v>327.75531000000001</v>
      </c>
      <c r="Z43" s="64">
        <v>330.657715</v>
      </c>
      <c r="AA43" s="64">
        <v>333.81982399999998</v>
      </c>
      <c r="AB43" s="64">
        <v>337.23492399999998</v>
      </c>
      <c r="AC43" s="64">
        <v>340.336792</v>
      </c>
      <c r="AD43" s="64">
        <v>344.24737499999998</v>
      </c>
      <c r="AE43" s="64">
        <v>349.04901100000001</v>
      </c>
      <c r="AF43" s="64">
        <v>353.22271699999999</v>
      </c>
      <c r="AG43" s="64">
        <v>357.021118</v>
      </c>
      <c r="AH43" s="64">
        <v>361.75671399999999</v>
      </c>
      <c r="AI43" s="64">
        <v>366.76269500000001</v>
      </c>
      <c r="AJ43" s="64">
        <v>372.79718000000003</v>
      </c>
      <c r="AK43" s="64">
        <v>379.005493</v>
      </c>
      <c r="AL43" s="13">
        <v>6.6750000000000004E-3</v>
      </c>
    </row>
    <row r="44" spans="1:38" ht="15" customHeight="1" x14ac:dyDescent="0.25">
      <c r="A44" s="7" t="s">
        <v>959</v>
      </c>
      <c r="B44" s="10" t="s">
        <v>960</v>
      </c>
      <c r="C44" s="140">
        <v>901.49963400000001</v>
      </c>
      <c r="D44" s="140">
        <v>885.67663600000003</v>
      </c>
      <c r="E44" s="140">
        <v>902.33612100000005</v>
      </c>
      <c r="F44" s="140">
        <v>884.22125200000005</v>
      </c>
      <c r="G44" s="140">
        <v>864.19543499999997</v>
      </c>
      <c r="H44" s="140">
        <v>846.59936500000003</v>
      </c>
      <c r="I44" s="140">
        <v>834.73974599999997</v>
      </c>
      <c r="J44" s="140">
        <v>836.29681400000004</v>
      </c>
      <c r="K44" s="140">
        <v>844.50903300000004</v>
      </c>
      <c r="L44" s="140">
        <v>850.64086899999995</v>
      </c>
      <c r="M44" s="140">
        <v>855.25707999999997</v>
      </c>
      <c r="N44" s="140">
        <v>855.39190699999995</v>
      </c>
      <c r="O44" s="140">
        <v>855.65356399999996</v>
      </c>
      <c r="P44" s="140">
        <v>858.27319299999999</v>
      </c>
      <c r="Q44" s="140">
        <v>858.44561799999997</v>
      </c>
      <c r="R44" s="140">
        <v>855.557007</v>
      </c>
      <c r="S44" s="140">
        <v>853.32934599999999</v>
      </c>
      <c r="T44" s="140">
        <v>852.362976</v>
      </c>
      <c r="U44" s="140">
        <v>854.01178000000004</v>
      </c>
      <c r="V44" s="140">
        <v>853.45623799999998</v>
      </c>
      <c r="W44" s="140">
        <v>856.62426800000003</v>
      </c>
      <c r="X44" s="140">
        <v>857.91418499999997</v>
      </c>
      <c r="Y44" s="140">
        <v>858.96081500000003</v>
      </c>
      <c r="Z44" s="140">
        <v>861.31262200000003</v>
      </c>
      <c r="AA44" s="140">
        <v>863.01623500000005</v>
      </c>
      <c r="AB44" s="140">
        <v>865.45257600000002</v>
      </c>
      <c r="AC44" s="140">
        <v>866.88275099999998</v>
      </c>
      <c r="AD44" s="140">
        <v>870.30877699999996</v>
      </c>
      <c r="AE44" s="140">
        <v>875.889771</v>
      </c>
      <c r="AF44" s="140">
        <v>879.54046600000004</v>
      </c>
      <c r="AG44" s="140">
        <v>882.15136700000005</v>
      </c>
      <c r="AH44" s="140">
        <v>887.424622</v>
      </c>
      <c r="AI44" s="140">
        <v>893.10125700000003</v>
      </c>
      <c r="AJ44" s="140">
        <v>901.33630400000004</v>
      </c>
      <c r="AK44" s="140">
        <v>910.01684599999999</v>
      </c>
      <c r="AL44" s="15">
        <v>8.2200000000000003E-4</v>
      </c>
    </row>
    <row r="47" spans="1:38" ht="15" customHeight="1" x14ac:dyDescent="0.25">
      <c r="B47" s="10" t="s">
        <v>961</v>
      </c>
    </row>
    <row r="48" spans="1:38" ht="15" customHeight="1" x14ac:dyDescent="0.25">
      <c r="B48" s="10" t="s">
        <v>962</v>
      </c>
    </row>
    <row r="49" spans="1:38" ht="15" customHeight="1" x14ac:dyDescent="0.25">
      <c r="A49" s="7" t="s">
        <v>963</v>
      </c>
      <c r="B49" s="11" t="s">
        <v>964</v>
      </c>
      <c r="C49" s="64">
        <v>260.07312000000002</v>
      </c>
      <c r="D49" s="64">
        <v>251.977722</v>
      </c>
      <c r="E49" s="64">
        <v>252.28698700000001</v>
      </c>
      <c r="F49" s="64">
        <v>256.34536700000001</v>
      </c>
      <c r="G49" s="64">
        <v>259.17535400000003</v>
      </c>
      <c r="H49" s="64">
        <v>255.041901</v>
      </c>
      <c r="I49" s="64">
        <v>254.68077099999999</v>
      </c>
      <c r="J49" s="64">
        <v>253.21019000000001</v>
      </c>
      <c r="K49" s="64">
        <v>247.596024</v>
      </c>
      <c r="L49" s="64">
        <v>245.1259</v>
      </c>
      <c r="M49" s="64">
        <v>241.09059099999999</v>
      </c>
      <c r="N49" s="64">
        <v>240.97155799999999</v>
      </c>
      <c r="O49" s="64">
        <v>240.284164</v>
      </c>
      <c r="P49" s="64">
        <v>239.076233</v>
      </c>
      <c r="Q49" s="64">
        <v>238.13192699999999</v>
      </c>
      <c r="R49" s="64">
        <v>240.46305799999999</v>
      </c>
      <c r="S49" s="64">
        <v>241.18815599999999</v>
      </c>
      <c r="T49" s="64">
        <v>241.36309800000001</v>
      </c>
      <c r="U49" s="64">
        <v>243.02969400000001</v>
      </c>
      <c r="V49" s="64">
        <v>245.60571300000001</v>
      </c>
      <c r="W49" s="64">
        <v>245.304382</v>
      </c>
      <c r="X49" s="64">
        <v>246.10578899999999</v>
      </c>
      <c r="Y49" s="64">
        <v>247.80287200000001</v>
      </c>
      <c r="Z49" s="64">
        <v>249.12828099999999</v>
      </c>
      <c r="AA49" s="64">
        <v>250.461716</v>
      </c>
      <c r="AB49" s="64">
        <v>249.93693500000001</v>
      </c>
      <c r="AC49" s="64">
        <v>249.83105499999999</v>
      </c>
      <c r="AD49" s="64">
        <v>250.75392199999999</v>
      </c>
      <c r="AE49" s="64">
        <v>250.15301500000001</v>
      </c>
      <c r="AF49" s="64">
        <v>251.17073099999999</v>
      </c>
      <c r="AG49" s="64">
        <v>251.239746</v>
      </c>
      <c r="AH49" s="64">
        <v>251.39915500000001</v>
      </c>
      <c r="AI49" s="64">
        <v>252.32186899999999</v>
      </c>
      <c r="AJ49" s="64">
        <v>252.43019100000001</v>
      </c>
      <c r="AK49" s="64">
        <v>252.34669500000001</v>
      </c>
      <c r="AL49" s="13">
        <v>4.3999999999999999E-5</v>
      </c>
    </row>
    <row r="50" spans="1:38" ht="15" customHeight="1" x14ac:dyDescent="0.25">
      <c r="A50" s="7" t="s">
        <v>965</v>
      </c>
      <c r="B50" s="11" t="s">
        <v>966</v>
      </c>
      <c r="C50" s="64">
        <v>85.945189999999997</v>
      </c>
      <c r="D50" s="64">
        <v>82.948586000000006</v>
      </c>
      <c r="E50" s="64">
        <v>85.074623000000003</v>
      </c>
      <c r="F50" s="64">
        <v>84.378448000000006</v>
      </c>
      <c r="G50" s="64">
        <v>84.929366999999999</v>
      </c>
      <c r="H50" s="64">
        <v>85.464805999999996</v>
      </c>
      <c r="I50" s="64">
        <v>86.329764999999995</v>
      </c>
      <c r="J50" s="64">
        <v>87.822342000000006</v>
      </c>
      <c r="K50" s="64">
        <v>89.375275000000002</v>
      </c>
      <c r="L50" s="64">
        <v>90.793273999999997</v>
      </c>
      <c r="M50" s="64">
        <v>92.400986000000003</v>
      </c>
      <c r="N50" s="64">
        <v>93.584457</v>
      </c>
      <c r="O50" s="64">
        <v>94.708870000000005</v>
      </c>
      <c r="P50" s="64">
        <v>95.892868000000007</v>
      </c>
      <c r="Q50" s="64">
        <v>97.143730000000005</v>
      </c>
      <c r="R50" s="64">
        <v>98.066581999999997</v>
      </c>
      <c r="S50" s="64">
        <v>98.924721000000005</v>
      </c>
      <c r="T50" s="64">
        <v>99.935851999999997</v>
      </c>
      <c r="U50" s="64">
        <v>101.138802</v>
      </c>
      <c r="V50" s="64">
        <v>102.178764</v>
      </c>
      <c r="W50" s="64">
        <v>103.44995900000001</v>
      </c>
      <c r="X50" s="64">
        <v>104.648758</v>
      </c>
      <c r="Y50" s="64">
        <v>105.78800200000001</v>
      </c>
      <c r="Z50" s="64">
        <v>107.07300600000001</v>
      </c>
      <c r="AA50" s="64">
        <v>108.33474699999999</v>
      </c>
      <c r="AB50" s="64">
        <v>109.53997</v>
      </c>
      <c r="AC50" s="64">
        <v>110.640137</v>
      </c>
      <c r="AD50" s="64">
        <v>111.87797500000001</v>
      </c>
      <c r="AE50" s="64">
        <v>113.225227</v>
      </c>
      <c r="AF50" s="64">
        <v>114.49305699999999</v>
      </c>
      <c r="AG50" s="64">
        <v>115.55772399999999</v>
      </c>
      <c r="AH50" s="64">
        <v>116.882904</v>
      </c>
      <c r="AI50" s="64">
        <v>118.23246</v>
      </c>
      <c r="AJ50" s="64">
        <v>119.80898999999999</v>
      </c>
      <c r="AK50" s="64">
        <v>121.491623</v>
      </c>
      <c r="AL50" s="13">
        <v>1.1631000000000001E-2</v>
      </c>
    </row>
    <row r="51" spans="1:38" ht="15" customHeight="1" x14ac:dyDescent="0.25">
      <c r="A51" s="7" t="s">
        <v>967</v>
      </c>
      <c r="B51" s="11" t="s">
        <v>968</v>
      </c>
      <c r="C51" s="64">
        <v>58.423191000000003</v>
      </c>
      <c r="D51" s="64">
        <v>58.460380999999998</v>
      </c>
      <c r="E51" s="64">
        <v>56.302872000000001</v>
      </c>
      <c r="F51" s="64">
        <v>55.463760000000001</v>
      </c>
      <c r="G51" s="64">
        <v>55.597178999999997</v>
      </c>
      <c r="H51" s="64">
        <v>55.519798000000002</v>
      </c>
      <c r="I51" s="64">
        <v>55.485134000000002</v>
      </c>
      <c r="J51" s="64">
        <v>55.866706999999998</v>
      </c>
      <c r="K51" s="64">
        <v>56.402901</v>
      </c>
      <c r="L51" s="64">
        <v>56.505875000000003</v>
      </c>
      <c r="M51" s="64">
        <v>56.689548000000002</v>
      </c>
      <c r="N51" s="64">
        <v>56.625892999999998</v>
      </c>
      <c r="O51" s="64">
        <v>56.22213</v>
      </c>
      <c r="P51" s="64">
        <v>55.450912000000002</v>
      </c>
      <c r="Q51" s="64">
        <v>54.372402000000001</v>
      </c>
      <c r="R51" s="64">
        <v>53.162945000000001</v>
      </c>
      <c r="S51" s="64">
        <v>52.084823999999998</v>
      </c>
      <c r="T51" s="64">
        <v>51.383403999999999</v>
      </c>
      <c r="U51" s="64">
        <v>51.134974999999997</v>
      </c>
      <c r="V51" s="64">
        <v>50.946178000000003</v>
      </c>
      <c r="W51" s="64">
        <v>51.096908999999997</v>
      </c>
      <c r="X51" s="64">
        <v>51.233269</v>
      </c>
      <c r="Y51" s="64">
        <v>51.351180999999997</v>
      </c>
      <c r="Z51" s="64">
        <v>51.644900999999997</v>
      </c>
      <c r="AA51" s="64">
        <v>51.915215000000003</v>
      </c>
      <c r="AB51" s="64">
        <v>52.134754000000001</v>
      </c>
      <c r="AC51" s="64">
        <v>52.342078999999998</v>
      </c>
      <c r="AD51" s="64">
        <v>52.466887999999997</v>
      </c>
      <c r="AE51" s="64">
        <v>52.523173999999997</v>
      </c>
      <c r="AF51" s="64">
        <v>52.426372999999998</v>
      </c>
      <c r="AG51" s="64">
        <v>52.187793999999997</v>
      </c>
      <c r="AH51" s="64">
        <v>52.156421999999999</v>
      </c>
      <c r="AI51" s="64">
        <v>52.143562000000003</v>
      </c>
      <c r="AJ51" s="64">
        <v>52.227032000000001</v>
      </c>
      <c r="AK51" s="64">
        <v>52.381408999999998</v>
      </c>
      <c r="AL51" s="13">
        <v>-3.3219999999999999E-3</v>
      </c>
    </row>
    <row r="52" spans="1:38" ht="15" customHeight="1" x14ac:dyDescent="0.25">
      <c r="A52" s="7" t="s">
        <v>969</v>
      </c>
      <c r="B52" s="11" t="s">
        <v>505</v>
      </c>
      <c r="C52" s="64">
        <v>281.10742199999999</v>
      </c>
      <c r="D52" s="64">
        <v>294.75183099999998</v>
      </c>
      <c r="E52" s="64">
        <v>313.1474</v>
      </c>
      <c r="F52" s="64">
        <v>327.95550500000002</v>
      </c>
      <c r="G52" s="64">
        <v>340.308807</v>
      </c>
      <c r="H52" s="64">
        <v>347.286743</v>
      </c>
      <c r="I52" s="64">
        <v>353.64135700000003</v>
      </c>
      <c r="J52" s="64">
        <v>363.24658199999999</v>
      </c>
      <c r="K52" s="64">
        <v>374.49923699999999</v>
      </c>
      <c r="L52" s="64">
        <v>379.11331200000001</v>
      </c>
      <c r="M52" s="64">
        <v>382.658478</v>
      </c>
      <c r="N52" s="64">
        <v>386.81835899999999</v>
      </c>
      <c r="O52" s="64">
        <v>392.406158</v>
      </c>
      <c r="P52" s="64">
        <v>396.85916099999997</v>
      </c>
      <c r="Q52" s="64">
        <v>400.26715100000001</v>
      </c>
      <c r="R52" s="64">
        <v>402.59652699999998</v>
      </c>
      <c r="S52" s="64">
        <v>403.145355</v>
      </c>
      <c r="T52" s="64">
        <v>405.56222500000001</v>
      </c>
      <c r="U52" s="64">
        <v>405.651794</v>
      </c>
      <c r="V52" s="64">
        <v>405.26361100000003</v>
      </c>
      <c r="W52" s="64">
        <v>405.86837800000001</v>
      </c>
      <c r="X52" s="64">
        <v>408.05187999999998</v>
      </c>
      <c r="Y52" s="64">
        <v>411.82763699999998</v>
      </c>
      <c r="Z52" s="64">
        <v>412.19912699999998</v>
      </c>
      <c r="AA52" s="64">
        <v>411.75225799999998</v>
      </c>
      <c r="AB52" s="64">
        <v>412.17590300000001</v>
      </c>
      <c r="AC52" s="64">
        <v>410.66195699999997</v>
      </c>
      <c r="AD52" s="64">
        <v>410.01626599999997</v>
      </c>
      <c r="AE52" s="64">
        <v>409.56057700000002</v>
      </c>
      <c r="AF52" s="64">
        <v>409.17056300000002</v>
      </c>
      <c r="AG52" s="64">
        <v>407.84518400000002</v>
      </c>
      <c r="AH52" s="64">
        <v>407.67382800000001</v>
      </c>
      <c r="AI52" s="64">
        <v>407.34442100000001</v>
      </c>
      <c r="AJ52" s="64">
        <v>407.20880099999999</v>
      </c>
      <c r="AK52" s="64">
        <v>407.80816700000003</v>
      </c>
      <c r="AL52" s="13">
        <v>9.887E-3</v>
      </c>
    </row>
    <row r="53" spans="1:38" ht="15" customHeight="1" x14ac:dyDescent="0.25">
      <c r="A53" s="7" t="s">
        <v>970</v>
      </c>
      <c r="B53" s="11" t="s">
        <v>971</v>
      </c>
      <c r="C53" s="64">
        <v>10.413527</v>
      </c>
      <c r="D53" s="64">
        <v>9.6988500000000002</v>
      </c>
      <c r="E53" s="64">
        <v>10.398966</v>
      </c>
      <c r="F53" s="64">
        <v>10.497469000000001</v>
      </c>
      <c r="G53" s="64">
        <v>9.8506429999999998</v>
      </c>
      <c r="H53" s="64">
        <v>9.9027860000000008</v>
      </c>
      <c r="I53" s="64">
        <v>9.9536060000000006</v>
      </c>
      <c r="J53" s="64">
        <v>10.077764999999999</v>
      </c>
      <c r="K53" s="64">
        <v>10.176491</v>
      </c>
      <c r="L53" s="64">
        <v>10.337517999999999</v>
      </c>
      <c r="M53" s="64">
        <v>10.52158</v>
      </c>
      <c r="N53" s="64">
        <v>10.622901000000001</v>
      </c>
      <c r="O53" s="64">
        <v>10.746926999999999</v>
      </c>
      <c r="P53" s="64">
        <v>10.807623</v>
      </c>
      <c r="Q53" s="64">
        <v>10.854113999999999</v>
      </c>
      <c r="R53" s="64">
        <v>10.83066</v>
      </c>
      <c r="S53" s="64">
        <v>10.715984000000001</v>
      </c>
      <c r="T53" s="64">
        <v>10.654665</v>
      </c>
      <c r="U53" s="64">
        <v>10.773529999999999</v>
      </c>
      <c r="V53" s="64">
        <v>10.901019</v>
      </c>
      <c r="W53" s="64">
        <v>11.001714</v>
      </c>
      <c r="X53" s="64">
        <v>11.080090999999999</v>
      </c>
      <c r="Y53" s="64">
        <v>11.168780999999999</v>
      </c>
      <c r="Z53" s="64">
        <v>11.192494999999999</v>
      </c>
      <c r="AA53" s="64">
        <v>11.263408999999999</v>
      </c>
      <c r="AB53" s="64">
        <v>11.320154</v>
      </c>
      <c r="AC53" s="64">
        <v>11.232595999999999</v>
      </c>
      <c r="AD53" s="64">
        <v>11.170833</v>
      </c>
      <c r="AE53" s="64">
        <v>11.110720000000001</v>
      </c>
      <c r="AF53" s="64">
        <v>10.995336</v>
      </c>
      <c r="AG53" s="64">
        <v>10.852713</v>
      </c>
      <c r="AH53" s="64">
        <v>10.673221</v>
      </c>
      <c r="AI53" s="64">
        <v>10.485817000000001</v>
      </c>
      <c r="AJ53" s="64">
        <v>10.314712</v>
      </c>
      <c r="AK53" s="64">
        <v>10.204226</v>
      </c>
      <c r="AL53" s="13">
        <v>1.5399999999999999E-3</v>
      </c>
    </row>
    <row r="54" spans="1:38" ht="15" customHeight="1" x14ac:dyDescent="0.25">
      <c r="A54" s="7" t="s">
        <v>972</v>
      </c>
      <c r="B54" s="11" t="s">
        <v>529</v>
      </c>
      <c r="C54" s="64">
        <v>31.814458999999999</v>
      </c>
      <c r="D54" s="64">
        <v>32.442771999999998</v>
      </c>
      <c r="E54" s="64">
        <v>35.630012999999998</v>
      </c>
      <c r="F54" s="64">
        <v>36.183674000000003</v>
      </c>
      <c r="G54" s="64">
        <v>36.502777000000002</v>
      </c>
      <c r="H54" s="64">
        <v>36.528809000000003</v>
      </c>
      <c r="I54" s="64">
        <v>36.402999999999999</v>
      </c>
      <c r="J54" s="64">
        <v>36.133491999999997</v>
      </c>
      <c r="K54" s="64">
        <v>35.971493000000002</v>
      </c>
      <c r="L54" s="64">
        <v>35.623126999999997</v>
      </c>
      <c r="M54" s="64">
        <v>35.178944000000001</v>
      </c>
      <c r="N54" s="64">
        <v>34.532634999999999</v>
      </c>
      <c r="O54" s="64">
        <v>33.668532999999996</v>
      </c>
      <c r="P54" s="64">
        <v>32.875652000000002</v>
      </c>
      <c r="Q54" s="64">
        <v>32.122149999999998</v>
      </c>
      <c r="R54" s="64">
        <v>31.385214000000001</v>
      </c>
      <c r="S54" s="64">
        <v>30.380528999999999</v>
      </c>
      <c r="T54" s="64">
        <v>29.583117000000001</v>
      </c>
      <c r="U54" s="64">
        <v>28.969836999999998</v>
      </c>
      <c r="V54" s="64">
        <v>28.013206</v>
      </c>
      <c r="W54" s="64">
        <v>28.148035</v>
      </c>
      <c r="X54" s="64">
        <v>28.2103</v>
      </c>
      <c r="Y54" s="64">
        <v>28.410966999999999</v>
      </c>
      <c r="Z54" s="64">
        <v>28.486409999999999</v>
      </c>
      <c r="AA54" s="64">
        <v>28.679466000000001</v>
      </c>
      <c r="AB54" s="64">
        <v>28.927627999999999</v>
      </c>
      <c r="AC54" s="64">
        <v>28.989602999999999</v>
      </c>
      <c r="AD54" s="64">
        <v>29.196262000000001</v>
      </c>
      <c r="AE54" s="64">
        <v>29.478594000000001</v>
      </c>
      <c r="AF54" s="64">
        <v>29.751421000000001</v>
      </c>
      <c r="AG54" s="64">
        <v>30.075068000000002</v>
      </c>
      <c r="AH54" s="64">
        <v>30.28875</v>
      </c>
      <c r="AI54" s="64">
        <v>30.472722999999998</v>
      </c>
      <c r="AJ54" s="64">
        <v>30.616976000000001</v>
      </c>
      <c r="AK54" s="64">
        <v>30.784656999999999</v>
      </c>
      <c r="AL54" s="13">
        <v>-1.588E-3</v>
      </c>
    </row>
    <row r="55" spans="1:38" ht="15" customHeight="1" x14ac:dyDescent="0.25">
      <c r="A55" s="7" t="s">
        <v>973</v>
      </c>
      <c r="B55" s="11" t="s">
        <v>974</v>
      </c>
      <c r="C55" s="64">
        <v>102.52301799999999</v>
      </c>
      <c r="D55" s="64">
        <v>109.00968899999999</v>
      </c>
      <c r="E55" s="64">
        <v>99.382842999999994</v>
      </c>
      <c r="F55" s="64">
        <v>100.430336</v>
      </c>
      <c r="G55" s="64">
        <v>104.48803700000001</v>
      </c>
      <c r="H55" s="64">
        <v>101.93006099999999</v>
      </c>
      <c r="I55" s="64">
        <v>98.664451999999997</v>
      </c>
      <c r="J55" s="64">
        <v>98.733756999999997</v>
      </c>
      <c r="K55" s="64">
        <v>100.60533100000001</v>
      </c>
      <c r="L55" s="64">
        <v>102.077881</v>
      </c>
      <c r="M55" s="64">
        <v>103.169487</v>
      </c>
      <c r="N55" s="64">
        <v>104.448463</v>
      </c>
      <c r="O55" s="64">
        <v>105.45796199999999</v>
      </c>
      <c r="P55" s="64">
        <v>105.481544</v>
      </c>
      <c r="Q55" s="64">
        <v>106.882935</v>
      </c>
      <c r="R55" s="64">
        <v>107.695435</v>
      </c>
      <c r="S55" s="64">
        <v>108.122078</v>
      </c>
      <c r="T55" s="64">
        <v>109.283607</v>
      </c>
      <c r="U55" s="64">
        <v>110.262535</v>
      </c>
      <c r="V55" s="64">
        <v>111.434586</v>
      </c>
      <c r="W55" s="64">
        <v>112.062248</v>
      </c>
      <c r="X55" s="64">
        <v>113.337952</v>
      </c>
      <c r="Y55" s="64">
        <v>112.950813</v>
      </c>
      <c r="Z55" s="64">
        <v>112.34195699999999</v>
      </c>
      <c r="AA55" s="64">
        <v>112.403999</v>
      </c>
      <c r="AB55" s="64">
        <v>113.00992599999999</v>
      </c>
      <c r="AC55" s="64">
        <v>113.035622</v>
      </c>
      <c r="AD55" s="64">
        <v>112.574303</v>
      </c>
      <c r="AE55" s="64">
        <v>111.42897000000001</v>
      </c>
      <c r="AF55" s="64">
        <v>110.39999400000001</v>
      </c>
      <c r="AG55" s="64">
        <v>109.44589999999999</v>
      </c>
      <c r="AH55" s="64">
        <v>109.173203</v>
      </c>
      <c r="AI55" s="64">
        <v>109.50533299999999</v>
      </c>
      <c r="AJ55" s="64">
        <v>108.88471199999999</v>
      </c>
      <c r="AK55" s="64">
        <v>107.57860599999999</v>
      </c>
      <c r="AL55" s="13">
        <v>-4.0000000000000002E-4</v>
      </c>
    </row>
    <row r="56" spans="1:38" ht="15" customHeight="1" x14ac:dyDescent="0.25">
      <c r="A56" s="7" t="s">
        <v>975</v>
      </c>
      <c r="B56" s="11" t="s">
        <v>976</v>
      </c>
      <c r="C56" s="64">
        <v>17.541792000000001</v>
      </c>
      <c r="D56" s="64">
        <v>18.118143</v>
      </c>
      <c r="E56" s="64">
        <v>19.244184000000001</v>
      </c>
      <c r="F56" s="64">
        <v>19.466721</v>
      </c>
      <c r="G56" s="64">
        <v>19.570343000000001</v>
      </c>
      <c r="H56" s="64">
        <v>19.506661999999999</v>
      </c>
      <c r="I56" s="64">
        <v>19.289929999999998</v>
      </c>
      <c r="J56" s="64">
        <v>19.419654999999999</v>
      </c>
      <c r="K56" s="64">
        <v>19.816755000000001</v>
      </c>
      <c r="L56" s="64">
        <v>20.087392999999999</v>
      </c>
      <c r="M56" s="64">
        <v>20.473644</v>
      </c>
      <c r="N56" s="64">
        <v>20.88335</v>
      </c>
      <c r="O56" s="64">
        <v>21.174977999999999</v>
      </c>
      <c r="P56" s="64">
        <v>21.355464999999999</v>
      </c>
      <c r="Q56" s="64">
        <v>21.452414000000001</v>
      </c>
      <c r="R56" s="64">
        <v>21.382926999999999</v>
      </c>
      <c r="S56" s="64">
        <v>21.390905</v>
      </c>
      <c r="T56" s="64">
        <v>21.450274</v>
      </c>
      <c r="U56" s="64">
        <v>21.547459</v>
      </c>
      <c r="V56" s="64">
        <v>21.636620000000001</v>
      </c>
      <c r="W56" s="64">
        <v>21.786387999999999</v>
      </c>
      <c r="X56" s="64">
        <v>21.787329</v>
      </c>
      <c r="Y56" s="64">
        <v>21.868582</v>
      </c>
      <c r="Z56" s="64">
        <v>21.944233000000001</v>
      </c>
      <c r="AA56" s="64">
        <v>22.042074</v>
      </c>
      <c r="AB56" s="64">
        <v>22.155611</v>
      </c>
      <c r="AC56" s="64">
        <v>22.147257</v>
      </c>
      <c r="AD56" s="64">
        <v>22.181135000000001</v>
      </c>
      <c r="AE56" s="64">
        <v>22.063244000000001</v>
      </c>
      <c r="AF56" s="64">
        <v>21.895499999999998</v>
      </c>
      <c r="AG56" s="64">
        <v>22.516446999999999</v>
      </c>
      <c r="AH56" s="64">
        <v>22.291450999999999</v>
      </c>
      <c r="AI56" s="64">
        <v>21.995094000000002</v>
      </c>
      <c r="AJ56" s="64">
        <v>21.795680999999998</v>
      </c>
      <c r="AK56" s="64">
        <v>21.739332000000001</v>
      </c>
      <c r="AL56" s="13">
        <v>5.5370000000000003E-3</v>
      </c>
    </row>
    <row r="57" spans="1:38" ht="15" customHeight="1" x14ac:dyDescent="0.25">
      <c r="A57" s="7" t="s">
        <v>977</v>
      </c>
      <c r="B57" s="11" t="s">
        <v>978</v>
      </c>
      <c r="C57" s="64">
        <v>29.496680999999999</v>
      </c>
      <c r="D57" s="64">
        <v>29.062548</v>
      </c>
      <c r="E57" s="64">
        <v>30.007929000000001</v>
      </c>
      <c r="F57" s="64">
        <v>29.186142</v>
      </c>
      <c r="G57" s="64">
        <v>29.025742999999999</v>
      </c>
      <c r="H57" s="64">
        <v>28.629566000000001</v>
      </c>
      <c r="I57" s="64">
        <v>28.733646</v>
      </c>
      <c r="J57" s="64">
        <v>29.253017</v>
      </c>
      <c r="K57" s="64">
        <v>29.841524</v>
      </c>
      <c r="L57" s="64">
        <v>30.234507000000001</v>
      </c>
      <c r="M57" s="64">
        <v>30.872458999999999</v>
      </c>
      <c r="N57" s="64">
        <v>31.179205</v>
      </c>
      <c r="O57" s="64">
        <v>31.509111000000001</v>
      </c>
      <c r="P57" s="64">
        <v>32.039977999999998</v>
      </c>
      <c r="Q57" s="64">
        <v>32.121192999999998</v>
      </c>
      <c r="R57" s="64">
        <v>32.441401999999997</v>
      </c>
      <c r="S57" s="64">
        <v>32.714672</v>
      </c>
      <c r="T57" s="64">
        <v>33.019477999999999</v>
      </c>
      <c r="U57" s="64">
        <v>33.160820000000001</v>
      </c>
      <c r="V57" s="64">
        <v>33.325367</v>
      </c>
      <c r="W57" s="64">
        <v>33.645099999999999</v>
      </c>
      <c r="X57" s="64">
        <v>33.918747000000003</v>
      </c>
      <c r="Y57" s="64">
        <v>34.177070999999998</v>
      </c>
      <c r="Z57" s="64">
        <v>34.676318999999999</v>
      </c>
      <c r="AA57" s="64">
        <v>35.219776000000003</v>
      </c>
      <c r="AB57" s="64">
        <v>35.757384999999999</v>
      </c>
      <c r="AC57" s="64">
        <v>36.294193</v>
      </c>
      <c r="AD57" s="64">
        <v>36.901142</v>
      </c>
      <c r="AE57" s="64">
        <v>37.561824999999999</v>
      </c>
      <c r="AF57" s="64">
        <v>38.216911000000003</v>
      </c>
      <c r="AG57" s="64">
        <v>38.521510999999997</v>
      </c>
      <c r="AH57" s="64">
        <v>38.972968999999999</v>
      </c>
      <c r="AI57" s="64">
        <v>39.358291999999999</v>
      </c>
      <c r="AJ57" s="64">
        <v>39.871971000000002</v>
      </c>
      <c r="AK57" s="64">
        <v>40.432288999999997</v>
      </c>
      <c r="AL57" s="13">
        <v>1.0056000000000001E-2</v>
      </c>
    </row>
    <row r="58" spans="1:38" ht="15" customHeight="1" x14ac:dyDescent="0.25">
      <c r="A58" s="7" t="s">
        <v>979</v>
      </c>
      <c r="B58" s="11" t="s">
        <v>980</v>
      </c>
      <c r="C58" s="64">
        <v>13.922878000000001</v>
      </c>
      <c r="D58" s="64">
        <v>13.819407</v>
      </c>
      <c r="E58" s="64">
        <v>14.670522</v>
      </c>
      <c r="F58" s="64">
        <v>14.853367</v>
      </c>
      <c r="G58" s="64">
        <v>15.414542000000001</v>
      </c>
      <c r="H58" s="64">
        <v>15.558018000000001</v>
      </c>
      <c r="I58" s="64">
        <v>15.738401</v>
      </c>
      <c r="J58" s="64">
        <v>16.097715000000001</v>
      </c>
      <c r="K58" s="64">
        <v>16.437062999999998</v>
      </c>
      <c r="L58" s="64">
        <v>16.697731000000001</v>
      </c>
      <c r="M58" s="64">
        <v>17.044606999999999</v>
      </c>
      <c r="N58" s="64">
        <v>17.256488999999998</v>
      </c>
      <c r="O58" s="64">
        <v>17.434099</v>
      </c>
      <c r="P58" s="64">
        <v>17.599098000000001</v>
      </c>
      <c r="Q58" s="64">
        <v>17.809443999999999</v>
      </c>
      <c r="R58" s="64">
        <v>17.857302000000001</v>
      </c>
      <c r="S58" s="64">
        <v>17.896871999999998</v>
      </c>
      <c r="T58" s="64">
        <v>17.954813000000001</v>
      </c>
      <c r="U58" s="64">
        <v>17.981822999999999</v>
      </c>
      <c r="V58" s="64">
        <v>17.998259000000001</v>
      </c>
      <c r="W58" s="64">
        <v>18.084838999999999</v>
      </c>
      <c r="X58" s="64">
        <v>18.067539</v>
      </c>
      <c r="Y58" s="64">
        <v>18.144917</v>
      </c>
      <c r="Z58" s="64">
        <v>18.221461999999999</v>
      </c>
      <c r="AA58" s="64">
        <v>18.316523</v>
      </c>
      <c r="AB58" s="64">
        <v>18.404978</v>
      </c>
      <c r="AC58" s="64">
        <v>18.408859</v>
      </c>
      <c r="AD58" s="64">
        <v>18.455393000000001</v>
      </c>
      <c r="AE58" s="64">
        <v>18.426131999999999</v>
      </c>
      <c r="AF58" s="64">
        <v>18.381695000000001</v>
      </c>
      <c r="AG58" s="64">
        <v>18.287271</v>
      </c>
      <c r="AH58" s="64">
        <v>18.250677</v>
      </c>
      <c r="AI58" s="64">
        <v>18.142567</v>
      </c>
      <c r="AJ58" s="64">
        <v>18.056809999999999</v>
      </c>
      <c r="AK58" s="64">
        <v>18.011436</v>
      </c>
      <c r="AL58" s="13">
        <v>8.0610000000000005E-3</v>
      </c>
    </row>
    <row r="59" spans="1:38" ht="15" customHeight="1" x14ac:dyDescent="0.25">
      <c r="A59" s="7" t="s">
        <v>981</v>
      </c>
      <c r="B59" s="11" t="s">
        <v>982</v>
      </c>
      <c r="C59" s="64">
        <v>15.025475999999999</v>
      </c>
      <c r="D59" s="64">
        <v>15.091619</v>
      </c>
      <c r="E59" s="64">
        <v>15.165801</v>
      </c>
      <c r="F59" s="64">
        <v>15.114508000000001</v>
      </c>
      <c r="G59" s="64">
        <v>14.815438</v>
      </c>
      <c r="H59" s="64">
        <v>14.660619000000001</v>
      </c>
      <c r="I59" s="64">
        <v>14.630095000000001</v>
      </c>
      <c r="J59" s="64">
        <v>14.777984999999999</v>
      </c>
      <c r="K59" s="64">
        <v>14.923773000000001</v>
      </c>
      <c r="L59" s="64">
        <v>15.089230000000001</v>
      </c>
      <c r="M59" s="64">
        <v>15.31424</v>
      </c>
      <c r="N59" s="64">
        <v>15.464447</v>
      </c>
      <c r="O59" s="64">
        <v>15.616020000000001</v>
      </c>
      <c r="P59" s="64">
        <v>15.754178</v>
      </c>
      <c r="Q59" s="64">
        <v>15.88077</v>
      </c>
      <c r="R59" s="64">
        <v>15.931846</v>
      </c>
      <c r="S59" s="64">
        <v>16.001221000000001</v>
      </c>
      <c r="T59" s="64">
        <v>16.057167</v>
      </c>
      <c r="U59" s="64">
        <v>16.209289999999999</v>
      </c>
      <c r="V59" s="64">
        <v>16.249126</v>
      </c>
      <c r="W59" s="64">
        <v>16.331009000000002</v>
      </c>
      <c r="X59" s="64">
        <v>16.382534</v>
      </c>
      <c r="Y59" s="64">
        <v>16.333127999999999</v>
      </c>
      <c r="Z59" s="64">
        <v>16.368089999999999</v>
      </c>
      <c r="AA59" s="64">
        <v>16.440107000000001</v>
      </c>
      <c r="AB59" s="64">
        <v>16.544243000000002</v>
      </c>
      <c r="AC59" s="64">
        <v>16.603086000000001</v>
      </c>
      <c r="AD59" s="64">
        <v>16.640132999999999</v>
      </c>
      <c r="AE59" s="64">
        <v>16.772387999999999</v>
      </c>
      <c r="AF59" s="64">
        <v>16.795252000000001</v>
      </c>
      <c r="AG59" s="64">
        <v>16.716396</v>
      </c>
      <c r="AH59" s="64">
        <v>16.771516999999999</v>
      </c>
      <c r="AI59" s="64">
        <v>16.819201</v>
      </c>
      <c r="AJ59" s="64">
        <v>16.902676</v>
      </c>
      <c r="AK59" s="64">
        <v>17.019341000000001</v>
      </c>
      <c r="AL59" s="13">
        <v>3.6489999999999999E-3</v>
      </c>
    </row>
    <row r="60" spans="1:38" ht="15" customHeight="1" x14ac:dyDescent="0.25">
      <c r="A60" s="7" t="s">
        <v>983</v>
      </c>
      <c r="B60" s="11" t="s">
        <v>984</v>
      </c>
      <c r="C60" s="64">
        <v>31.759575000000002</v>
      </c>
      <c r="D60" s="64">
        <v>31.923546000000002</v>
      </c>
      <c r="E60" s="64">
        <v>30.507114000000001</v>
      </c>
      <c r="F60" s="64">
        <v>30.036798000000001</v>
      </c>
      <c r="G60" s="64">
        <v>30.571501000000001</v>
      </c>
      <c r="H60" s="64">
        <v>30.456645999999999</v>
      </c>
      <c r="I60" s="64">
        <v>29.888694999999998</v>
      </c>
      <c r="J60" s="64">
        <v>29.945188999999999</v>
      </c>
      <c r="K60" s="64">
        <v>29.93648</v>
      </c>
      <c r="L60" s="64">
        <v>30.420193000000001</v>
      </c>
      <c r="M60" s="64">
        <v>31.379318000000001</v>
      </c>
      <c r="N60" s="64">
        <v>31.832808</v>
      </c>
      <c r="O60" s="64">
        <v>32.258246999999997</v>
      </c>
      <c r="P60" s="64">
        <v>32.611094999999999</v>
      </c>
      <c r="Q60" s="64">
        <v>32.979500000000002</v>
      </c>
      <c r="R60" s="64">
        <v>33.199855999999997</v>
      </c>
      <c r="S60" s="64">
        <v>33.483116000000003</v>
      </c>
      <c r="T60" s="64">
        <v>33.742888999999998</v>
      </c>
      <c r="U60" s="64">
        <v>34.174961000000003</v>
      </c>
      <c r="V60" s="64">
        <v>34.571541000000003</v>
      </c>
      <c r="W60" s="64">
        <v>34.999065000000002</v>
      </c>
      <c r="X60" s="64">
        <v>35.408428000000001</v>
      </c>
      <c r="Y60" s="64">
        <v>35.815722999999998</v>
      </c>
      <c r="Z60" s="64">
        <v>36.151043000000001</v>
      </c>
      <c r="AA60" s="64">
        <v>36.425933999999998</v>
      </c>
      <c r="AB60" s="64">
        <v>36.592540999999997</v>
      </c>
      <c r="AC60" s="64">
        <v>36.685214999999999</v>
      </c>
      <c r="AD60" s="64">
        <v>36.900500999999998</v>
      </c>
      <c r="AE60" s="64">
        <v>37.145229</v>
      </c>
      <c r="AF60" s="64">
        <v>37.345863000000001</v>
      </c>
      <c r="AG60" s="64">
        <v>37.444946000000002</v>
      </c>
      <c r="AH60" s="64">
        <v>37.605018999999999</v>
      </c>
      <c r="AI60" s="64">
        <v>37.684254000000003</v>
      </c>
      <c r="AJ60" s="64">
        <v>37.914104000000002</v>
      </c>
      <c r="AK60" s="64">
        <v>38.199612000000002</v>
      </c>
      <c r="AL60" s="13">
        <v>5.4539999999999996E-3</v>
      </c>
    </row>
    <row r="61" spans="1:38" ht="15" customHeight="1" x14ac:dyDescent="0.25">
      <c r="A61" s="7" t="s">
        <v>985</v>
      </c>
      <c r="B61" s="11" t="s">
        <v>986</v>
      </c>
      <c r="C61" s="64">
        <v>8.2840389999999999</v>
      </c>
      <c r="D61" s="64">
        <v>8.3081230000000001</v>
      </c>
      <c r="E61" s="64">
        <v>8.8064350000000005</v>
      </c>
      <c r="F61" s="64">
        <v>8.6881129999999995</v>
      </c>
      <c r="G61" s="64">
        <v>8.6795089999999995</v>
      </c>
      <c r="H61" s="64">
        <v>8.6937379999999997</v>
      </c>
      <c r="I61" s="64">
        <v>8.8013279999999998</v>
      </c>
      <c r="J61" s="64">
        <v>9.0031580000000009</v>
      </c>
      <c r="K61" s="64">
        <v>9.2113960000000006</v>
      </c>
      <c r="L61" s="64">
        <v>9.3304449999999992</v>
      </c>
      <c r="M61" s="64">
        <v>9.4644829999999995</v>
      </c>
      <c r="N61" s="64">
        <v>9.6057740000000003</v>
      </c>
      <c r="O61" s="64">
        <v>9.7646859999999993</v>
      </c>
      <c r="P61" s="64">
        <v>9.9282199999999996</v>
      </c>
      <c r="Q61" s="64">
        <v>10.053532000000001</v>
      </c>
      <c r="R61" s="64">
        <v>10.151926</v>
      </c>
      <c r="S61" s="64">
        <v>10.246691999999999</v>
      </c>
      <c r="T61" s="64">
        <v>10.328158999999999</v>
      </c>
      <c r="U61" s="64">
        <v>10.417097</v>
      </c>
      <c r="V61" s="64">
        <v>10.473026000000001</v>
      </c>
      <c r="W61" s="64">
        <v>10.590087</v>
      </c>
      <c r="X61" s="64">
        <v>10.667119</v>
      </c>
      <c r="Y61" s="64">
        <v>10.741852</v>
      </c>
      <c r="Z61" s="64">
        <v>10.85839</v>
      </c>
      <c r="AA61" s="64">
        <v>10.980688000000001</v>
      </c>
      <c r="AB61" s="64">
        <v>11.113372999999999</v>
      </c>
      <c r="AC61" s="64">
        <v>11.275637</v>
      </c>
      <c r="AD61" s="64">
        <v>11.460226</v>
      </c>
      <c r="AE61" s="64">
        <v>11.632736</v>
      </c>
      <c r="AF61" s="64">
        <v>11.748749</v>
      </c>
      <c r="AG61" s="64">
        <v>11.832534000000001</v>
      </c>
      <c r="AH61" s="64">
        <v>11.953798000000001</v>
      </c>
      <c r="AI61" s="64">
        <v>12.084187999999999</v>
      </c>
      <c r="AJ61" s="64">
        <v>12.273477</v>
      </c>
      <c r="AK61" s="64">
        <v>12.452423</v>
      </c>
      <c r="AL61" s="13">
        <v>1.2338999999999999E-2</v>
      </c>
    </row>
    <row r="62" spans="1:38" ht="15" customHeight="1" x14ac:dyDescent="0.25">
      <c r="A62" s="7" t="s">
        <v>987</v>
      </c>
      <c r="B62" s="11" t="s">
        <v>988</v>
      </c>
      <c r="C62" s="64">
        <v>13.012964</v>
      </c>
      <c r="D62" s="64">
        <v>12.351896</v>
      </c>
      <c r="E62" s="64">
        <v>12.789135</v>
      </c>
      <c r="F62" s="64">
        <v>12.403421</v>
      </c>
      <c r="G62" s="64">
        <v>12.298553</v>
      </c>
      <c r="H62" s="64">
        <v>12.211855999999999</v>
      </c>
      <c r="I62" s="64">
        <v>12.251702999999999</v>
      </c>
      <c r="J62" s="64">
        <v>12.474598</v>
      </c>
      <c r="K62" s="64">
        <v>12.787528</v>
      </c>
      <c r="L62" s="64">
        <v>12.940424</v>
      </c>
      <c r="M62" s="64">
        <v>13.067166</v>
      </c>
      <c r="N62" s="64">
        <v>13.157882000000001</v>
      </c>
      <c r="O62" s="64">
        <v>13.278214999999999</v>
      </c>
      <c r="P62" s="64">
        <v>13.338321000000001</v>
      </c>
      <c r="Q62" s="64">
        <v>13.599482999999999</v>
      </c>
      <c r="R62" s="64">
        <v>13.714306000000001</v>
      </c>
      <c r="S62" s="64">
        <v>13.738682000000001</v>
      </c>
      <c r="T62" s="64">
        <v>13.736682</v>
      </c>
      <c r="U62" s="64">
        <v>14.007028999999999</v>
      </c>
      <c r="V62" s="64">
        <v>14.248716</v>
      </c>
      <c r="W62" s="64">
        <v>14.493738</v>
      </c>
      <c r="X62" s="64">
        <v>14.582658</v>
      </c>
      <c r="Y62" s="64">
        <v>14.696054999999999</v>
      </c>
      <c r="Z62" s="64">
        <v>14.748481999999999</v>
      </c>
      <c r="AA62" s="64">
        <v>14.908116</v>
      </c>
      <c r="AB62" s="64">
        <v>15.183016</v>
      </c>
      <c r="AC62" s="64">
        <v>15.319917</v>
      </c>
      <c r="AD62" s="64">
        <v>15.407788</v>
      </c>
      <c r="AE62" s="64">
        <v>15.626023</v>
      </c>
      <c r="AF62" s="64">
        <v>15.722269000000001</v>
      </c>
      <c r="AG62" s="64">
        <v>15.805263999999999</v>
      </c>
      <c r="AH62" s="64">
        <v>15.867948999999999</v>
      </c>
      <c r="AI62" s="64">
        <v>15.818040999999999</v>
      </c>
      <c r="AJ62" s="64">
        <v>15.764362</v>
      </c>
      <c r="AK62" s="64">
        <v>15.771204000000001</v>
      </c>
      <c r="AL62" s="13">
        <v>7.4330000000000004E-3</v>
      </c>
    </row>
    <row r="63" spans="1:38" ht="15" customHeight="1" x14ac:dyDescent="0.25">
      <c r="A63" s="7" t="s">
        <v>989</v>
      </c>
      <c r="B63" s="11" t="s">
        <v>990</v>
      </c>
      <c r="C63" s="64">
        <v>27.913404</v>
      </c>
      <c r="D63" s="64">
        <v>27.065552</v>
      </c>
      <c r="E63" s="64">
        <v>27.498173000000001</v>
      </c>
      <c r="F63" s="64">
        <v>26.894850000000002</v>
      </c>
      <c r="G63" s="64">
        <v>27.121542000000002</v>
      </c>
      <c r="H63" s="64">
        <v>27.141010000000001</v>
      </c>
      <c r="I63" s="64">
        <v>27.139593000000001</v>
      </c>
      <c r="J63" s="64">
        <v>27.602633000000001</v>
      </c>
      <c r="K63" s="64">
        <v>28.280922</v>
      </c>
      <c r="L63" s="64">
        <v>28.826886999999999</v>
      </c>
      <c r="M63" s="64">
        <v>29.407869000000002</v>
      </c>
      <c r="N63" s="64">
        <v>29.753413999999999</v>
      </c>
      <c r="O63" s="64">
        <v>30.078465000000001</v>
      </c>
      <c r="P63" s="64">
        <v>30.459364000000001</v>
      </c>
      <c r="Q63" s="64">
        <v>30.803533999999999</v>
      </c>
      <c r="R63" s="64">
        <v>30.956526</v>
      </c>
      <c r="S63" s="64">
        <v>31.095085000000001</v>
      </c>
      <c r="T63" s="64">
        <v>31.290924</v>
      </c>
      <c r="U63" s="64">
        <v>31.598074</v>
      </c>
      <c r="V63" s="64">
        <v>31.796451999999999</v>
      </c>
      <c r="W63" s="64">
        <v>32.126980000000003</v>
      </c>
      <c r="X63" s="64">
        <v>32.425438</v>
      </c>
      <c r="Y63" s="64">
        <v>32.674267</v>
      </c>
      <c r="Z63" s="64">
        <v>32.974361000000002</v>
      </c>
      <c r="AA63" s="64">
        <v>33.250518999999997</v>
      </c>
      <c r="AB63" s="64">
        <v>33.509856999999997</v>
      </c>
      <c r="AC63" s="64">
        <v>33.698138999999998</v>
      </c>
      <c r="AD63" s="64">
        <v>33.92794</v>
      </c>
      <c r="AE63" s="64">
        <v>34.212485999999998</v>
      </c>
      <c r="AF63" s="64">
        <v>34.412804000000001</v>
      </c>
      <c r="AG63" s="64">
        <v>34.508049</v>
      </c>
      <c r="AH63" s="64">
        <v>34.726771999999997</v>
      </c>
      <c r="AI63" s="64">
        <v>34.930359000000003</v>
      </c>
      <c r="AJ63" s="64">
        <v>35.285034000000003</v>
      </c>
      <c r="AK63" s="64">
        <v>35.674427000000001</v>
      </c>
      <c r="AL63" s="13">
        <v>8.404E-3</v>
      </c>
    </row>
    <row r="64" spans="1:38" ht="15" customHeight="1" x14ac:dyDescent="0.25">
      <c r="A64" s="7" t="s">
        <v>991</v>
      </c>
      <c r="B64" s="11" t="s">
        <v>992</v>
      </c>
      <c r="C64" s="64">
        <v>113.27552</v>
      </c>
      <c r="D64" s="64">
        <v>110.719864</v>
      </c>
      <c r="E64" s="64">
        <v>111.351799</v>
      </c>
      <c r="F64" s="64">
        <v>109.361481</v>
      </c>
      <c r="G64" s="64">
        <v>109.117676</v>
      </c>
      <c r="H64" s="64">
        <v>108.54605100000001</v>
      </c>
      <c r="I64" s="64">
        <v>108.095146</v>
      </c>
      <c r="J64" s="64">
        <v>108.66033899999999</v>
      </c>
      <c r="K64" s="64">
        <v>109.460945</v>
      </c>
      <c r="L64" s="64">
        <v>109.504372</v>
      </c>
      <c r="M64" s="64">
        <v>109.735832</v>
      </c>
      <c r="N64" s="64">
        <v>109.796516</v>
      </c>
      <c r="O64" s="64">
        <v>109.740143</v>
      </c>
      <c r="P64" s="64">
        <v>109.916061</v>
      </c>
      <c r="Q64" s="64">
        <v>110.229034</v>
      </c>
      <c r="R64" s="64">
        <v>110.13591</v>
      </c>
      <c r="S64" s="64">
        <v>109.84431499999999</v>
      </c>
      <c r="T64" s="64">
        <v>109.694328</v>
      </c>
      <c r="U64" s="64">
        <v>109.773888</v>
      </c>
      <c r="V64" s="64">
        <v>109.695549</v>
      </c>
      <c r="W64" s="64">
        <v>109.75556899999999</v>
      </c>
      <c r="X64" s="64">
        <v>109.822884</v>
      </c>
      <c r="Y64" s="64">
        <v>109.842461</v>
      </c>
      <c r="Z64" s="64">
        <v>109.97792800000001</v>
      </c>
      <c r="AA64" s="64">
        <v>110.208771</v>
      </c>
      <c r="AB64" s="64">
        <v>110.500862</v>
      </c>
      <c r="AC64" s="64">
        <v>110.452454</v>
      </c>
      <c r="AD64" s="64">
        <v>110.587273</v>
      </c>
      <c r="AE64" s="64">
        <v>110.820778</v>
      </c>
      <c r="AF64" s="64">
        <v>110.997528</v>
      </c>
      <c r="AG64" s="64">
        <v>110.890923</v>
      </c>
      <c r="AH64" s="64">
        <v>111.051376</v>
      </c>
      <c r="AI64" s="64">
        <v>111.105278</v>
      </c>
      <c r="AJ64" s="64">
        <v>111.410973</v>
      </c>
      <c r="AK64" s="64">
        <v>111.903786</v>
      </c>
      <c r="AL64" s="13">
        <v>3.2200000000000002E-4</v>
      </c>
    </row>
    <row r="65" spans="1:38" ht="15" customHeight="1" x14ac:dyDescent="0.25">
      <c r="A65" s="7" t="s">
        <v>993</v>
      </c>
      <c r="B65" s="10" t="s">
        <v>994</v>
      </c>
      <c r="C65" s="140">
        <v>1100.5322269999999</v>
      </c>
      <c r="D65" s="140">
        <v>1105.7504879999999</v>
      </c>
      <c r="E65" s="140">
        <v>1122.264893</v>
      </c>
      <c r="F65" s="140">
        <v>1137.26001</v>
      </c>
      <c r="G65" s="140">
        <v>1157.4670410000001</v>
      </c>
      <c r="H65" s="140">
        <v>1157.0791019999999</v>
      </c>
      <c r="I65" s="140">
        <v>1159.7265620000001</v>
      </c>
      <c r="J65" s="140">
        <v>1172.3251949999999</v>
      </c>
      <c r="K65" s="140">
        <v>1185.32312</v>
      </c>
      <c r="L65" s="140">
        <v>1192.70813</v>
      </c>
      <c r="M65" s="140">
        <v>1198.469116</v>
      </c>
      <c r="N65" s="140">
        <v>1206.5341800000001</v>
      </c>
      <c r="O65" s="140">
        <v>1214.3486330000001</v>
      </c>
      <c r="P65" s="140">
        <v>1219.4458010000001</v>
      </c>
      <c r="Q65" s="140">
        <v>1224.7033690000001</v>
      </c>
      <c r="R65" s="140">
        <v>1229.9724120000001</v>
      </c>
      <c r="S65" s="140">
        <v>1230.9732670000001</v>
      </c>
      <c r="T65" s="140">
        <v>1235.040649</v>
      </c>
      <c r="U65" s="140">
        <v>1239.8316649999999</v>
      </c>
      <c r="V65" s="140">
        <v>1244.3376459999999</v>
      </c>
      <c r="W65" s="140">
        <v>1248.744385</v>
      </c>
      <c r="X65" s="140">
        <v>1255.7307129999999</v>
      </c>
      <c r="Y65" s="140">
        <v>1263.5942379999999</v>
      </c>
      <c r="Z65" s="140">
        <v>1267.986328</v>
      </c>
      <c r="AA65" s="140">
        <v>1272.603149</v>
      </c>
      <c r="AB65" s="140">
        <v>1276.807129</v>
      </c>
      <c r="AC65" s="140">
        <v>1277.6176760000001</v>
      </c>
      <c r="AD65" s="140">
        <v>1280.518188</v>
      </c>
      <c r="AE65" s="140">
        <v>1281.740967</v>
      </c>
      <c r="AF65" s="140">
        <v>1283.9241939999999</v>
      </c>
      <c r="AG65" s="140">
        <v>1283.7274170000001</v>
      </c>
      <c r="AH65" s="140">
        <v>1285.7391359999999</v>
      </c>
      <c r="AI65" s="140">
        <v>1288.4433590000001</v>
      </c>
      <c r="AJ65" s="140">
        <v>1290.7664789999999</v>
      </c>
      <c r="AK65" s="140">
        <v>1293.7991939999999</v>
      </c>
      <c r="AL65" s="15">
        <v>4.7710000000000001E-3</v>
      </c>
    </row>
    <row r="66" spans="1:38" ht="15" customHeight="1" x14ac:dyDescent="0.25">
      <c r="B66" s="10" t="s">
        <v>995</v>
      </c>
    </row>
    <row r="67" spans="1:38" ht="15" customHeight="1" x14ac:dyDescent="0.25">
      <c r="A67" s="7" t="s">
        <v>996</v>
      </c>
      <c r="B67" s="11" t="s">
        <v>997</v>
      </c>
      <c r="C67" s="64">
        <v>80.709473000000003</v>
      </c>
      <c r="D67" s="64">
        <v>80.978615000000005</v>
      </c>
      <c r="E67" s="64">
        <v>79.919883999999996</v>
      </c>
      <c r="F67" s="64">
        <v>76.746780000000001</v>
      </c>
      <c r="G67" s="64">
        <v>77.270645000000002</v>
      </c>
      <c r="H67" s="64">
        <v>77.647262999999995</v>
      </c>
      <c r="I67" s="64">
        <v>78.252724000000001</v>
      </c>
      <c r="J67" s="64">
        <v>79.047934999999995</v>
      </c>
      <c r="K67" s="64">
        <v>79.889281999999994</v>
      </c>
      <c r="L67" s="64">
        <v>80.479172000000005</v>
      </c>
      <c r="M67" s="64">
        <v>81.408187999999996</v>
      </c>
      <c r="N67" s="64">
        <v>82.127562999999995</v>
      </c>
      <c r="O67" s="64">
        <v>82.376396</v>
      </c>
      <c r="P67" s="64">
        <v>82.578079000000002</v>
      </c>
      <c r="Q67" s="64">
        <v>82.773842000000002</v>
      </c>
      <c r="R67" s="64">
        <v>82.998001000000002</v>
      </c>
      <c r="S67" s="64">
        <v>83.330635000000001</v>
      </c>
      <c r="T67" s="64">
        <v>83.437088000000003</v>
      </c>
      <c r="U67" s="64">
        <v>83.719352999999998</v>
      </c>
      <c r="V67" s="64">
        <v>83.827019000000007</v>
      </c>
      <c r="W67" s="64">
        <v>84.078079000000002</v>
      </c>
      <c r="X67" s="64">
        <v>84.355339000000001</v>
      </c>
      <c r="Y67" s="64">
        <v>84.572372000000001</v>
      </c>
      <c r="Z67" s="64">
        <v>84.938873000000001</v>
      </c>
      <c r="AA67" s="64">
        <v>85.312293999999994</v>
      </c>
      <c r="AB67" s="64">
        <v>85.684166000000005</v>
      </c>
      <c r="AC67" s="64">
        <v>86.035263</v>
      </c>
      <c r="AD67" s="64">
        <v>86.349968000000004</v>
      </c>
      <c r="AE67" s="64">
        <v>86.711815000000001</v>
      </c>
      <c r="AF67" s="64">
        <v>86.946158999999994</v>
      </c>
      <c r="AG67" s="64">
        <v>87.009636</v>
      </c>
      <c r="AH67" s="64">
        <v>87.322631999999999</v>
      </c>
      <c r="AI67" s="64">
        <v>87.649299999999997</v>
      </c>
      <c r="AJ67" s="64">
        <v>88.030463999999995</v>
      </c>
      <c r="AK67" s="64">
        <v>88.467406999999994</v>
      </c>
      <c r="AL67" s="13">
        <v>2.6840000000000002E-3</v>
      </c>
    </row>
    <row r="68" spans="1:38" ht="15" customHeight="1" x14ac:dyDescent="0.25">
      <c r="A68" s="7" t="s">
        <v>998</v>
      </c>
      <c r="B68" s="11" t="s">
        <v>999</v>
      </c>
      <c r="C68" s="64">
        <v>70.616028</v>
      </c>
      <c r="D68" s="64">
        <v>68.351096999999996</v>
      </c>
      <c r="E68" s="64">
        <v>73.957061999999993</v>
      </c>
      <c r="F68" s="64">
        <v>69.618492000000003</v>
      </c>
      <c r="G68" s="64">
        <v>70.273262000000003</v>
      </c>
      <c r="H68" s="64">
        <v>70.773567</v>
      </c>
      <c r="I68" s="64">
        <v>71.074912999999995</v>
      </c>
      <c r="J68" s="64">
        <v>71.643638999999993</v>
      </c>
      <c r="K68" s="64">
        <v>72.763489000000007</v>
      </c>
      <c r="L68" s="64">
        <v>73.730216999999996</v>
      </c>
      <c r="M68" s="64">
        <v>74.625953999999993</v>
      </c>
      <c r="N68" s="64">
        <v>75.011452000000006</v>
      </c>
      <c r="O68" s="64">
        <v>75.911681999999999</v>
      </c>
      <c r="P68" s="64">
        <v>76.483788000000004</v>
      </c>
      <c r="Q68" s="64">
        <v>77.121994000000001</v>
      </c>
      <c r="R68" s="64">
        <v>77.692192000000006</v>
      </c>
      <c r="S68" s="64">
        <v>77.885840999999999</v>
      </c>
      <c r="T68" s="64">
        <v>77.961174</v>
      </c>
      <c r="U68" s="64">
        <v>78.678955000000002</v>
      </c>
      <c r="V68" s="64">
        <v>79.271407999999994</v>
      </c>
      <c r="W68" s="64">
        <v>79.886405999999994</v>
      </c>
      <c r="X68" s="64">
        <v>80.438934000000003</v>
      </c>
      <c r="Y68" s="64">
        <v>81.054596000000004</v>
      </c>
      <c r="Z68" s="64">
        <v>81.487671000000006</v>
      </c>
      <c r="AA68" s="64">
        <v>82.166359</v>
      </c>
      <c r="AB68" s="64">
        <v>83.003082000000006</v>
      </c>
      <c r="AC68" s="64">
        <v>83.452826999999999</v>
      </c>
      <c r="AD68" s="64">
        <v>84.145240999999999</v>
      </c>
      <c r="AE68" s="64">
        <v>85.028899999999993</v>
      </c>
      <c r="AF68" s="64">
        <v>85.732039999999998</v>
      </c>
      <c r="AG68" s="64">
        <v>86.476730000000003</v>
      </c>
      <c r="AH68" s="64">
        <v>87.300872999999996</v>
      </c>
      <c r="AI68" s="64">
        <v>87.999083999999996</v>
      </c>
      <c r="AJ68" s="64">
        <v>88.621703999999994</v>
      </c>
      <c r="AK68" s="64">
        <v>89.405754000000002</v>
      </c>
      <c r="AL68" s="13">
        <v>8.1700000000000002E-3</v>
      </c>
    </row>
    <row r="69" spans="1:38" ht="15" customHeight="1" x14ac:dyDescent="0.25">
      <c r="A69" s="7" t="s">
        <v>1000</v>
      </c>
      <c r="B69" s="11" t="s">
        <v>1001</v>
      </c>
      <c r="C69" s="64">
        <v>100.311539</v>
      </c>
      <c r="D69" s="64">
        <v>97.101592999999994</v>
      </c>
      <c r="E69" s="64">
        <v>102.959183</v>
      </c>
      <c r="F69" s="64">
        <v>105.192802</v>
      </c>
      <c r="G69" s="64">
        <v>105.335365</v>
      </c>
      <c r="H69" s="64">
        <v>104.116005</v>
      </c>
      <c r="I69" s="64">
        <v>103.639709</v>
      </c>
      <c r="J69" s="64">
        <v>104.336578</v>
      </c>
      <c r="K69" s="64">
        <v>106.080772</v>
      </c>
      <c r="L69" s="64">
        <v>106.69650300000001</v>
      </c>
      <c r="M69" s="64">
        <v>107.16851800000001</v>
      </c>
      <c r="N69" s="64">
        <v>107.457184</v>
      </c>
      <c r="O69" s="64">
        <v>107.558273</v>
      </c>
      <c r="P69" s="64">
        <v>107.512199</v>
      </c>
      <c r="Q69" s="64">
        <v>107.198303</v>
      </c>
      <c r="R69" s="64">
        <v>106.610573</v>
      </c>
      <c r="S69" s="64">
        <v>105.79549400000001</v>
      </c>
      <c r="T69" s="64">
        <v>105.10236399999999</v>
      </c>
      <c r="U69" s="64">
        <v>104.951317</v>
      </c>
      <c r="V69" s="64">
        <v>104.690331</v>
      </c>
      <c r="W69" s="64">
        <v>104.81613900000001</v>
      </c>
      <c r="X69" s="64">
        <v>105.00087000000001</v>
      </c>
      <c r="Y69" s="64">
        <v>104.774857</v>
      </c>
      <c r="Z69" s="64">
        <v>105.072891</v>
      </c>
      <c r="AA69" s="64">
        <v>105.46064800000001</v>
      </c>
      <c r="AB69" s="64">
        <v>105.81543000000001</v>
      </c>
      <c r="AC69" s="64">
        <v>105.913445</v>
      </c>
      <c r="AD69" s="64">
        <v>106.081276</v>
      </c>
      <c r="AE69" s="64">
        <v>106.375244</v>
      </c>
      <c r="AF69" s="64">
        <v>106.129395</v>
      </c>
      <c r="AG69" s="64">
        <v>105.90458700000001</v>
      </c>
      <c r="AH69" s="64">
        <v>106.095749</v>
      </c>
      <c r="AI69" s="64">
        <v>106.162888</v>
      </c>
      <c r="AJ69" s="64">
        <v>106.516724</v>
      </c>
      <c r="AK69" s="64">
        <v>106.952423</v>
      </c>
      <c r="AL69" s="13">
        <v>2.9320000000000001E-3</v>
      </c>
    </row>
    <row r="70" spans="1:38" ht="15" customHeight="1" x14ac:dyDescent="0.25">
      <c r="A70" s="7" t="s">
        <v>1002</v>
      </c>
      <c r="B70" s="10" t="s">
        <v>1003</v>
      </c>
      <c r="C70" s="140">
        <v>251.63703899999999</v>
      </c>
      <c r="D70" s="140">
        <v>246.43130500000001</v>
      </c>
      <c r="E70" s="140">
        <v>256.83612099999999</v>
      </c>
      <c r="F70" s="140">
        <v>251.558075</v>
      </c>
      <c r="G70" s="140">
        <v>252.87927199999999</v>
      </c>
      <c r="H70" s="140">
        <v>252.536835</v>
      </c>
      <c r="I70" s="140">
        <v>252.96734599999999</v>
      </c>
      <c r="J70" s="140">
        <v>255.02815200000001</v>
      </c>
      <c r="K70" s="140">
        <v>258.73355099999998</v>
      </c>
      <c r="L70" s="140">
        <v>260.90588400000001</v>
      </c>
      <c r="M70" s="140">
        <v>263.20266700000002</v>
      </c>
      <c r="N70" s="140">
        <v>264.59619099999998</v>
      </c>
      <c r="O70" s="140">
        <v>265.84637500000002</v>
      </c>
      <c r="P70" s="140">
        <v>266.57406600000002</v>
      </c>
      <c r="Q70" s="140">
        <v>267.09414700000002</v>
      </c>
      <c r="R70" s="140">
        <v>267.30075099999999</v>
      </c>
      <c r="S70" s="140">
        <v>267.01196299999998</v>
      </c>
      <c r="T70" s="140">
        <v>266.50060999999999</v>
      </c>
      <c r="U70" s="140">
        <v>267.34964000000002</v>
      </c>
      <c r="V70" s="140">
        <v>267.78875699999998</v>
      </c>
      <c r="W70" s="140">
        <v>268.78060900000003</v>
      </c>
      <c r="X70" s="140">
        <v>269.79516599999999</v>
      </c>
      <c r="Y70" s="140">
        <v>270.40182499999997</v>
      </c>
      <c r="Z70" s="140">
        <v>271.49945100000002</v>
      </c>
      <c r="AA70" s="140">
        <v>272.939301</v>
      </c>
      <c r="AB70" s="140">
        <v>274.50268599999998</v>
      </c>
      <c r="AC70" s="140">
        <v>275.40154999999999</v>
      </c>
      <c r="AD70" s="140">
        <v>276.57647700000001</v>
      </c>
      <c r="AE70" s="140">
        <v>278.11596700000001</v>
      </c>
      <c r="AF70" s="140">
        <v>278.80758700000001</v>
      </c>
      <c r="AG70" s="140">
        <v>279.39093000000003</v>
      </c>
      <c r="AH70" s="140">
        <v>280.71923800000002</v>
      </c>
      <c r="AI70" s="140">
        <v>281.81127900000001</v>
      </c>
      <c r="AJ70" s="140">
        <v>283.16888399999999</v>
      </c>
      <c r="AK70" s="140">
        <v>284.82559199999997</v>
      </c>
      <c r="AL70" s="15">
        <v>4.3969999999999999E-3</v>
      </c>
    </row>
    <row r="71" spans="1:38" ht="15" customHeight="1" x14ac:dyDescent="0.25">
      <c r="A71" s="7" t="s">
        <v>1004</v>
      </c>
      <c r="B71" s="11" t="s">
        <v>941</v>
      </c>
      <c r="C71" s="64">
        <v>43.301636000000002</v>
      </c>
      <c r="D71" s="64">
        <v>78.068603999999993</v>
      </c>
      <c r="E71" s="64">
        <v>86.197509999999994</v>
      </c>
      <c r="F71" s="64">
        <v>96.390136999999996</v>
      </c>
      <c r="G71" s="64">
        <v>105.44152800000001</v>
      </c>
      <c r="H71" s="64">
        <v>108.455078</v>
      </c>
      <c r="I71" s="64">
        <v>110.509888</v>
      </c>
      <c r="J71" s="64">
        <v>113.61621100000001</v>
      </c>
      <c r="K71" s="64">
        <v>117.40625</v>
      </c>
      <c r="L71" s="64">
        <v>120.545654</v>
      </c>
      <c r="M71" s="64">
        <v>122.082397</v>
      </c>
      <c r="N71" s="64">
        <v>124.198853</v>
      </c>
      <c r="O71" s="64">
        <v>125.75170900000001</v>
      </c>
      <c r="P71" s="64">
        <v>126.58850099999999</v>
      </c>
      <c r="Q71" s="64">
        <v>126.479004</v>
      </c>
      <c r="R71" s="64">
        <v>126.702759</v>
      </c>
      <c r="S71" s="64">
        <v>126.937622</v>
      </c>
      <c r="T71" s="64">
        <v>126.89355500000001</v>
      </c>
      <c r="U71" s="64">
        <v>127.45459</v>
      </c>
      <c r="V71" s="64">
        <v>127.847534</v>
      </c>
      <c r="W71" s="64">
        <v>128.671143</v>
      </c>
      <c r="X71" s="64">
        <v>129.796753</v>
      </c>
      <c r="Y71" s="64">
        <v>130.064697</v>
      </c>
      <c r="Z71" s="64">
        <v>130.751465</v>
      </c>
      <c r="AA71" s="64">
        <v>132.114014</v>
      </c>
      <c r="AB71" s="64">
        <v>132.67553699999999</v>
      </c>
      <c r="AC71" s="64">
        <v>133.33764600000001</v>
      </c>
      <c r="AD71" s="64">
        <v>133.968018</v>
      </c>
      <c r="AE71" s="64">
        <v>134.63623000000001</v>
      </c>
      <c r="AF71" s="64">
        <v>134.49182099999999</v>
      </c>
      <c r="AG71" s="64">
        <v>135.192993</v>
      </c>
      <c r="AH71" s="64">
        <v>135.87207000000001</v>
      </c>
      <c r="AI71" s="64">
        <v>136.75756799999999</v>
      </c>
      <c r="AJ71" s="64">
        <v>137.29260300000001</v>
      </c>
      <c r="AK71" s="64">
        <v>137.81152299999999</v>
      </c>
      <c r="AL71" s="13">
        <v>1.737E-2</v>
      </c>
    </row>
    <row r="72" spans="1:38" ht="15" customHeight="1" x14ac:dyDescent="0.25">
      <c r="A72" s="7" t="s">
        <v>1005</v>
      </c>
      <c r="B72" s="10" t="s">
        <v>1006</v>
      </c>
      <c r="C72" s="140">
        <v>1395.470947</v>
      </c>
      <c r="D72" s="140">
        <v>1430.250366</v>
      </c>
      <c r="E72" s="140">
        <v>1465.2985839999999</v>
      </c>
      <c r="F72" s="140">
        <v>1485.2082519999999</v>
      </c>
      <c r="G72" s="140">
        <v>1515.787842</v>
      </c>
      <c r="H72" s="140">
        <v>1518.0710449999999</v>
      </c>
      <c r="I72" s="140">
        <v>1523.2037350000001</v>
      </c>
      <c r="J72" s="140">
        <v>1540.9696039999999</v>
      </c>
      <c r="K72" s="140">
        <v>1561.4628909999999</v>
      </c>
      <c r="L72" s="140">
        <v>1574.159668</v>
      </c>
      <c r="M72" s="140">
        <v>1583.75415</v>
      </c>
      <c r="N72" s="140">
        <v>1595.3292240000001</v>
      </c>
      <c r="O72" s="140">
        <v>1605.9467770000001</v>
      </c>
      <c r="P72" s="140">
        <v>1612.6083980000001</v>
      </c>
      <c r="Q72" s="140">
        <v>1618.2764890000001</v>
      </c>
      <c r="R72" s="140">
        <v>1623.975952</v>
      </c>
      <c r="S72" s="140">
        <v>1624.9228519999999</v>
      </c>
      <c r="T72" s="140">
        <v>1628.434814</v>
      </c>
      <c r="U72" s="140">
        <v>1634.6358640000001</v>
      </c>
      <c r="V72" s="140">
        <v>1639.973999</v>
      </c>
      <c r="W72" s="140">
        <v>1646.1961670000001</v>
      </c>
      <c r="X72" s="140">
        <v>1655.3226320000001</v>
      </c>
      <c r="Y72" s="140">
        <v>1664.0607910000001</v>
      </c>
      <c r="Z72" s="140">
        <v>1670.2373050000001</v>
      </c>
      <c r="AA72" s="140">
        <v>1677.6564940000001</v>
      </c>
      <c r="AB72" s="140">
        <v>1683.9853519999999</v>
      </c>
      <c r="AC72" s="140">
        <v>1686.3569339999999</v>
      </c>
      <c r="AD72" s="140">
        <v>1691.0627440000001</v>
      </c>
      <c r="AE72" s="140">
        <v>1694.493164</v>
      </c>
      <c r="AF72" s="140">
        <v>1697.2236330000001</v>
      </c>
      <c r="AG72" s="140">
        <v>1698.3114009999999</v>
      </c>
      <c r="AH72" s="140">
        <v>1702.3304439999999</v>
      </c>
      <c r="AI72" s="140">
        <v>1707.012207</v>
      </c>
      <c r="AJ72" s="140">
        <v>1711.227905</v>
      </c>
      <c r="AK72" s="140">
        <v>1716.436279</v>
      </c>
      <c r="AL72" s="15">
        <v>5.5430000000000002E-3</v>
      </c>
    </row>
    <row r="74" spans="1:38" ht="15" customHeight="1" x14ac:dyDescent="0.25">
      <c r="B74" s="10" t="s">
        <v>296</v>
      </c>
    </row>
    <row r="75" spans="1:38" ht="15" customHeight="1" x14ac:dyDescent="0.25">
      <c r="A75" s="7" t="s">
        <v>1007</v>
      </c>
      <c r="B75" s="11" t="s">
        <v>1008</v>
      </c>
      <c r="C75" s="64">
        <v>1031.0950929999999</v>
      </c>
      <c r="D75" s="64">
        <v>1013.218628</v>
      </c>
      <c r="E75" s="64">
        <v>1008.150818</v>
      </c>
      <c r="F75" s="64">
        <v>999.57788100000005</v>
      </c>
      <c r="G75" s="64">
        <v>983.00647000000004</v>
      </c>
      <c r="H75" s="64">
        <v>959.66131600000006</v>
      </c>
      <c r="I75" s="64">
        <v>934.724243</v>
      </c>
      <c r="J75" s="64">
        <v>906.61437999999998</v>
      </c>
      <c r="K75" s="64">
        <v>876.76318400000002</v>
      </c>
      <c r="L75" s="64">
        <v>847.13128700000004</v>
      </c>
      <c r="M75" s="64">
        <v>825.11682099999996</v>
      </c>
      <c r="N75" s="64">
        <v>805.45111099999997</v>
      </c>
      <c r="O75" s="64">
        <v>788.90429700000004</v>
      </c>
      <c r="P75" s="64">
        <v>774.15673800000002</v>
      </c>
      <c r="Q75" s="64">
        <v>761.43725600000005</v>
      </c>
      <c r="R75" s="64">
        <v>750.57446300000004</v>
      </c>
      <c r="S75" s="64">
        <v>740.85070800000005</v>
      </c>
      <c r="T75" s="64">
        <v>731.44232199999999</v>
      </c>
      <c r="U75" s="64">
        <v>722.81018100000006</v>
      </c>
      <c r="V75" s="64">
        <v>714.91455099999996</v>
      </c>
      <c r="W75" s="64">
        <v>709.84295699999996</v>
      </c>
      <c r="X75" s="64">
        <v>705.02533000000005</v>
      </c>
      <c r="Y75" s="64">
        <v>701.09454300000004</v>
      </c>
      <c r="Z75" s="64">
        <v>698.36340299999995</v>
      </c>
      <c r="AA75" s="64">
        <v>696.78625499999998</v>
      </c>
      <c r="AB75" s="64">
        <v>695.91424600000005</v>
      </c>
      <c r="AC75" s="64">
        <v>695.92687999999998</v>
      </c>
      <c r="AD75" s="64">
        <v>696.70367399999998</v>
      </c>
      <c r="AE75" s="64">
        <v>698.59802200000001</v>
      </c>
      <c r="AF75" s="64">
        <v>699.29583700000001</v>
      </c>
      <c r="AG75" s="64">
        <v>700.86053500000003</v>
      </c>
      <c r="AH75" s="64">
        <v>703.57708700000001</v>
      </c>
      <c r="AI75" s="64">
        <v>708.237122</v>
      </c>
      <c r="AJ75" s="64">
        <v>713.65252699999996</v>
      </c>
      <c r="AK75" s="64">
        <v>719.19610599999999</v>
      </c>
      <c r="AL75" s="13">
        <v>-1.0333E-2</v>
      </c>
    </row>
    <row r="76" spans="1:38" ht="15" customHeight="1" x14ac:dyDescent="0.25">
      <c r="A76" s="7" t="s">
        <v>1009</v>
      </c>
      <c r="B76" s="11" t="s">
        <v>1010</v>
      </c>
      <c r="C76" s="64">
        <v>59.250629000000004</v>
      </c>
      <c r="D76" s="64">
        <v>60.516396</v>
      </c>
      <c r="E76" s="64">
        <v>58.881976999999999</v>
      </c>
      <c r="F76" s="64">
        <v>58.750019000000002</v>
      </c>
      <c r="G76" s="64">
        <v>57.904594000000003</v>
      </c>
      <c r="H76" s="64">
        <v>56.896877000000003</v>
      </c>
      <c r="I76" s="64">
        <v>55.835945000000002</v>
      </c>
      <c r="J76" s="64">
        <v>54.712063000000001</v>
      </c>
      <c r="K76" s="64">
        <v>53.617527000000003</v>
      </c>
      <c r="L76" s="64">
        <v>52.988681999999997</v>
      </c>
      <c r="M76" s="64">
        <v>52.677357000000001</v>
      </c>
      <c r="N76" s="64">
        <v>52.273730999999998</v>
      </c>
      <c r="O76" s="64">
        <v>52.044815</v>
      </c>
      <c r="P76" s="64">
        <v>51.853771000000002</v>
      </c>
      <c r="Q76" s="64">
        <v>51.644505000000002</v>
      </c>
      <c r="R76" s="64">
        <v>51.746581999999997</v>
      </c>
      <c r="S76" s="64">
        <v>51.73</v>
      </c>
      <c r="T76" s="64">
        <v>51.615856000000001</v>
      </c>
      <c r="U76" s="64">
        <v>51.547275999999997</v>
      </c>
      <c r="V76" s="64">
        <v>51.581145999999997</v>
      </c>
      <c r="W76" s="64">
        <v>51.732844999999998</v>
      </c>
      <c r="X76" s="64">
        <v>51.888247999999997</v>
      </c>
      <c r="Y76" s="64">
        <v>52.168964000000003</v>
      </c>
      <c r="Z76" s="64">
        <v>52.425727999999999</v>
      </c>
      <c r="AA76" s="64">
        <v>52.839272000000001</v>
      </c>
      <c r="AB76" s="64">
        <v>53.285580000000003</v>
      </c>
      <c r="AC76" s="64">
        <v>53.759605000000001</v>
      </c>
      <c r="AD76" s="64">
        <v>54.349499000000002</v>
      </c>
      <c r="AE76" s="64">
        <v>55.057220000000001</v>
      </c>
      <c r="AF76" s="64">
        <v>55.449241999999998</v>
      </c>
      <c r="AG76" s="64">
        <v>55.917889000000002</v>
      </c>
      <c r="AH76" s="64">
        <v>56.541907999999999</v>
      </c>
      <c r="AI76" s="64">
        <v>57.507877000000001</v>
      </c>
      <c r="AJ76" s="64">
        <v>58.559105000000002</v>
      </c>
      <c r="AK76" s="64">
        <v>59.265273999999998</v>
      </c>
      <c r="AL76" s="13">
        <v>-6.3299999999999999E-4</v>
      </c>
    </row>
    <row r="77" spans="1:38" ht="15" customHeight="1" x14ac:dyDescent="0.25">
      <c r="A77" s="7" t="s">
        <v>1011</v>
      </c>
      <c r="B77" s="11" t="s">
        <v>1012</v>
      </c>
      <c r="C77" s="64">
        <v>15.668716999999999</v>
      </c>
      <c r="D77" s="64">
        <v>15.671173</v>
      </c>
      <c r="E77" s="64">
        <v>15.705410000000001</v>
      </c>
      <c r="F77" s="64">
        <v>15.773840999999999</v>
      </c>
      <c r="G77" s="64">
        <v>15.776889000000001</v>
      </c>
      <c r="H77" s="64">
        <v>15.805747999999999</v>
      </c>
      <c r="I77" s="64">
        <v>15.840055</v>
      </c>
      <c r="J77" s="64">
        <v>15.871695000000001</v>
      </c>
      <c r="K77" s="64">
        <v>15.900643000000001</v>
      </c>
      <c r="L77" s="64">
        <v>15.934760000000001</v>
      </c>
      <c r="M77" s="64">
        <v>15.963359000000001</v>
      </c>
      <c r="N77" s="64">
        <v>15.983494</v>
      </c>
      <c r="O77" s="64">
        <v>15.992433</v>
      </c>
      <c r="P77" s="64">
        <v>15.987669</v>
      </c>
      <c r="Q77" s="64">
        <v>15.957926</v>
      </c>
      <c r="R77" s="64">
        <v>15.885427999999999</v>
      </c>
      <c r="S77" s="64">
        <v>15.725999</v>
      </c>
      <c r="T77" s="64">
        <v>15.671618</v>
      </c>
      <c r="U77" s="64">
        <v>15.696740999999999</v>
      </c>
      <c r="V77" s="64">
        <v>15.721022</v>
      </c>
      <c r="W77" s="64">
        <v>15.744138</v>
      </c>
      <c r="X77" s="64">
        <v>15.764585</v>
      </c>
      <c r="Y77" s="64">
        <v>15.782906000000001</v>
      </c>
      <c r="Z77" s="64">
        <v>15.798703</v>
      </c>
      <c r="AA77" s="64">
        <v>15.812281</v>
      </c>
      <c r="AB77" s="64">
        <v>15.825442000000001</v>
      </c>
      <c r="AC77" s="64">
        <v>15.838008</v>
      </c>
      <c r="AD77" s="64">
        <v>15.853448999999999</v>
      </c>
      <c r="AE77" s="64">
        <v>15.864378</v>
      </c>
      <c r="AF77" s="64">
        <v>15.872691</v>
      </c>
      <c r="AG77" s="64">
        <v>15.880955</v>
      </c>
      <c r="AH77" s="64">
        <v>15.892314000000001</v>
      </c>
      <c r="AI77" s="64">
        <v>15.908056999999999</v>
      </c>
      <c r="AJ77" s="64">
        <v>15.925032</v>
      </c>
      <c r="AK77" s="64">
        <v>15.948483</v>
      </c>
      <c r="AL77" s="13">
        <v>5.3200000000000003E-4</v>
      </c>
    </row>
    <row r="78" spans="1:38" ht="15" customHeight="1" x14ac:dyDescent="0.25">
      <c r="A78" s="7" t="s">
        <v>1013</v>
      </c>
      <c r="B78" s="11" t="s">
        <v>1014</v>
      </c>
      <c r="C78" s="64">
        <v>376.72937000000002</v>
      </c>
      <c r="D78" s="64">
        <v>383.50167800000003</v>
      </c>
      <c r="E78" s="64">
        <v>378.540863</v>
      </c>
      <c r="F78" s="64">
        <v>384.391144</v>
      </c>
      <c r="G78" s="64">
        <v>383.65734900000001</v>
      </c>
      <c r="H78" s="64">
        <v>382.30175800000001</v>
      </c>
      <c r="I78" s="64">
        <v>381.69970699999999</v>
      </c>
      <c r="J78" s="64">
        <v>380.90429699999999</v>
      </c>
      <c r="K78" s="64">
        <v>379.75448599999999</v>
      </c>
      <c r="L78" s="64">
        <v>377.39614899999998</v>
      </c>
      <c r="M78" s="64">
        <v>375.09435999999999</v>
      </c>
      <c r="N78" s="64">
        <v>372.53518700000001</v>
      </c>
      <c r="O78" s="64">
        <v>369.67501800000002</v>
      </c>
      <c r="P78" s="64">
        <v>366.77795400000002</v>
      </c>
      <c r="Q78" s="64">
        <v>364.54424999999998</v>
      </c>
      <c r="R78" s="64">
        <v>362.74487299999998</v>
      </c>
      <c r="S78" s="64">
        <v>360.776611</v>
      </c>
      <c r="T78" s="64">
        <v>359.09780899999998</v>
      </c>
      <c r="U78" s="64">
        <v>358.48477200000002</v>
      </c>
      <c r="V78" s="64">
        <v>358.95806900000002</v>
      </c>
      <c r="W78" s="64">
        <v>360.02023300000002</v>
      </c>
      <c r="X78" s="64">
        <v>361.25195300000001</v>
      </c>
      <c r="Y78" s="64">
        <v>362.95163000000002</v>
      </c>
      <c r="Z78" s="64">
        <v>364.72000100000002</v>
      </c>
      <c r="AA78" s="64">
        <v>366.81768799999998</v>
      </c>
      <c r="AB78" s="64">
        <v>369.89755200000002</v>
      </c>
      <c r="AC78" s="64">
        <v>372.87148999999999</v>
      </c>
      <c r="AD78" s="64">
        <v>376.236176</v>
      </c>
      <c r="AE78" s="64">
        <v>379.91241500000001</v>
      </c>
      <c r="AF78" s="64">
        <v>382.83261099999999</v>
      </c>
      <c r="AG78" s="64">
        <v>385.880585</v>
      </c>
      <c r="AH78" s="64">
        <v>389.53283699999997</v>
      </c>
      <c r="AI78" s="64">
        <v>393.42343099999999</v>
      </c>
      <c r="AJ78" s="64">
        <v>397.25589000000002</v>
      </c>
      <c r="AK78" s="64">
        <v>401.00482199999999</v>
      </c>
      <c r="AL78" s="13">
        <v>1.353E-3</v>
      </c>
    </row>
    <row r="79" spans="1:38" ht="15" customHeight="1" x14ac:dyDescent="0.25">
      <c r="A79" s="7" t="s">
        <v>1015</v>
      </c>
      <c r="B79" s="11" t="s">
        <v>1016</v>
      </c>
      <c r="C79" s="64">
        <v>5.0136659999999997</v>
      </c>
      <c r="D79" s="64">
        <v>4.95648</v>
      </c>
      <c r="E79" s="64">
        <v>5.0348009999999999</v>
      </c>
      <c r="F79" s="64">
        <v>4.9970290000000004</v>
      </c>
      <c r="G79" s="64">
        <v>4.9422290000000002</v>
      </c>
      <c r="H79" s="64">
        <v>4.9050269999999996</v>
      </c>
      <c r="I79" s="64">
        <v>4.894571</v>
      </c>
      <c r="J79" s="64">
        <v>4.9477760000000002</v>
      </c>
      <c r="K79" s="64">
        <v>5.0391430000000001</v>
      </c>
      <c r="L79" s="64">
        <v>5.1244339999999999</v>
      </c>
      <c r="M79" s="64">
        <v>5.2047299999999996</v>
      </c>
      <c r="N79" s="64">
        <v>5.2562239999999996</v>
      </c>
      <c r="O79" s="64">
        <v>5.3058899999999998</v>
      </c>
      <c r="P79" s="64">
        <v>5.3659759999999999</v>
      </c>
      <c r="Q79" s="64">
        <v>5.4184099999999997</v>
      </c>
      <c r="R79" s="64">
        <v>5.4458849999999996</v>
      </c>
      <c r="S79" s="64">
        <v>5.4760400000000002</v>
      </c>
      <c r="T79" s="64">
        <v>5.5092939999999997</v>
      </c>
      <c r="U79" s="64">
        <v>5.5534970000000001</v>
      </c>
      <c r="V79" s="64">
        <v>5.5829529999999998</v>
      </c>
      <c r="W79" s="64">
        <v>5.6333209999999996</v>
      </c>
      <c r="X79" s="64">
        <v>5.6675690000000003</v>
      </c>
      <c r="Y79" s="64">
        <v>5.7004339999999996</v>
      </c>
      <c r="Z79" s="64">
        <v>5.7375569999999998</v>
      </c>
      <c r="AA79" s="64">
        <v>5.7749519999999999</v>
      </c>
      <c r="AB79" s="64">
        <v>5.8123930000000001</v>
      </c>
      <c r="AC79" s="64">
        <v>5.8405570000000004</v>
      </c>
      <c r="AD79" s="64">
        <v>5.8765000000000001</v>
      </c>
      <c r="AE79" s="64">
        <v>5.9204480000000004</v>
      </c>
      <c r="AF79" s="64">
        <v>5.9483129999999997</v>
      </c>
      <c r="AG79" s="64">
        <v>5.9679039999999999</v>
      </c>
      <c r="AH79" s="64">
        <v>5.9979459999999998</v>
      </c>
      <c r="AI79" s="64">
        <v>6.0279939999999996</v>
      </c>
      <c r="AJ79" s="64">
        <v>6.0715159999999999</v>
      </c>
      <c r="AK79" s="64">
        <v>6.1132020000000002</v>
      </c>
      <c r="AL79" s="13">
        <v>6.3769999999999999E-3</v>
      </c>
    </row>
    <row r="80" spans="1:38" ht="15" customHeight="1" x14ac:dyDescent="0.25">
      <c r="A80" s="7" t="s">
        <v>1017</v>
      </c>
      <c r="B80" s="11" t="s">
        <v>1018</v>
      </c>
      <c r="C80" s="64">
        <v>33.876227999999998</v>
      </c>
      <c r="D80" s="64">
        <v>34.564231999999997</v>
      </c>
      <c r="E80" s="64">
        <v>34.350700000000003</v>
      </c>
      <c r="F80" s="64">
        <v>34.055129999999998</v>
      </c>
      <c r="G80" s="64">
        <v>34.028675</v>
      </c>
      <c r="H80" s="64">
        <v>33.854655999999999</v>
      </c>
      <c r="I80" s="64">
        <v>33.284430999999998</v>
      </c>
      <c r="J80" s="64">
        <v>33.228149000000002</v>
      </c>
      <c r="K80" s="64">
        <v>33.938118000000003</v>
      </c>
      <c r="L80" s="64">
        <v>34.229633</v>
      </c>
      <c r="M80" s="64">
        <v>34.229087999999997</v>
      </c>
      <c r="N80" s="64">
        <v>34.080997000000004</v>
      </c>
      <c r="O80" s="64">
        <v>33.696285000000003</v>
      </c>
      <c r="P80" s="64">
        <v>33.501697999999998</v>
      </c>
      <c r="Q80" s="64">
        <v>33.248359999999998</v>
      </c>
      <c r="R80" s="64">
        <v>32.959797000000002</v>
      </c>
      <c r="S80" s="64">
        <v>32.829517000000003</v>
      </c>
      <c r="T80" s="64">
        <v>32.469096999999998</v>
      </c>
      <c r="U80" s="64">
        <v>32.257305000000002</v>
      </c>
      <c r="V80" s="64">
        <v>31.932447</v>
      </c>
      <c r="W80" s="64">
        <v>31.952210999999998</v>
      </c>
      <c r="X80" s="64">
        <v>31.720198</v>
      </c>
      <c r="Y80" s="64">
        <v>31.703703000000001</v>
      </c>
      <c r="Z80" s="64">
        <v>31.465247999999999</v>
      </c>
      <c r="AA80" s="64">
        <v>31.357227000000002</v>
      </c>
      <c r="AB80" s="64">
        <v>31.285637000000001</v>
      </c>
      <c r="AC80" s="64">
        <v>31.130071999999998</v>
      </c>
      <c r="AD80" s="64">
        <v>31.050314</v>
      </c>
      <c r="AE80" s="64">
        <v>30.965047999999999</v>
      </c>
      <c r="AF80" s="64">
        <v>30.837157999999999</v>
      </c>
      <c r="AG80" s="64">
        <v>30.705200000000001</v>
      </c>
      <c r="AH80" s="64">
        <v>30.597252000000001</v>
      </c>
      <c r="AI80" s="64">
        <v>30.47485</v>
      </c>
      <c r="AJ80" s="64">
        <v>30.508645999999999</v>
      </c>
      <c r="AK80" s="64">
        <v>30.427606999999998</v>
      </c>
      <c r="AL80" s="13">
        <v>-3.8549999999999999E-3</v>
      </c>
    </row>
    <row r="81" spans="1:38" ht="15" customHeight="1" x14ac:dyDescent="0.25">
      <c r="A81" s="7" t="s">
        <v>1019</v>
      </c>
      <c r="B81" s="11" t="s">
        <v>1020</v>
      </c>
      <c r="C81" s="64">
        <v>6.3996909999999998</v>
      </c>
      <c r="D81" s="64">
        <v>6.2379980000000002</v>
      </c>
      <c r="E81" s="64">
        <v>6.0894349999999999</v>
      </c>
      <c r="F81" s="64">
        <v>6.0928659999999999</v>
      </c>
      <c r="G81" s="64">
        <v>5.7920429999999996</v>
      </c>
      <c r="H81" s="64">
        <v>5.5864370000000001</v>
      </c>
      <c r="I81" s="64">
        <v>5.4173559999999998</v>
      </c>
      <c r="J81" s="64">
        <v>5.2465010000000003</v>
      </c>
      <c r="K81" s="64">
        <v>5.0813449999999998</v>
      </c>
      <c r="L81" s="64">
        <v>4.9111560000000001</v>
      </c>
      <c r="M81" s="64">
        <v>4.7522719999999996</v>
      </c>
      <c r="N81" s="64">
        <v>4.5885889999999998</v>
      </c>
      <c r="O81" s="64">
        <v>4.419594</v>
      </c>
      <c r="P81" s="64">
        <v>4.2537430000000001</v>
      </c>
      <c r="Q81" s="64">
        <v>4.0950699999999998</v>
      </c>
      <c r="R81" s="64">
        <v>3.9991780000000001</v>
      </c>
      <c r="S81" s="64">
        <v>3.9044099999999999</v>
      </c>
      <c r="T81" s="64">
        <v>3.8115589999999999</v>
      </c>
      <c r="U81" s="64">
        <v>3.7196340000000001</v>
      </c>
      <c r="V81" s="64">
        <v>3.6306449999999999</v>
      </c>
      <c r="W81" s="64">
        <v>3.5470100000000002</v>
      </c>
      <c r="X81" s="64">
        <v>3.462294</v>
      </c>
      <c r="Y81" s="64">
        <v>3.379292</v>
      </c>
      <c r="Z81" s="64">
        <v>3.2945060000000002</v>
      </c>
      <c r="AA81" s="64">
        <v>3.2154410000000002</v>
      </c>
      <c r="AB81" s="64">
        <v>3.1705399999999999</v>
      </c>
      <c r="AC81" s="64">
        <v>3.1242070000000002</v>
      </c>
      <c r="AD81" s="64">
        <v>3.0806900000000002</v>
      </c>
      <c r="AE81" s="64">
        <v>3.037255</v>
      </c>
      <c r="AF81" s="64">
        <v>2.990129</v>
      </c>
      <c r="AG81" s="64">
        <v>2.9452129999999999</v>
      </c>
      <c r="AH81" s="64">
        <v>2.9036840000000002</v>
      </c>
      <c r="AI81" s="64">
        <v>2.8612880000000001</v>
      </c>
      <c r="AJ81" s="64">
        <v>2.8174830000000002</v>
      </c>
      <c r="AK81" s="64">
        <v>2.7754789999999998</v>
      </c>
      <c r="AL81" s="13">
        <v>-2.4242E-2</v>
      </c>
    </row>
    <row r="82" spans="1:38" ht="15" customHeight="1" x14ac:dyDescent="0.25">
      <c r="A82" s="7" t="s">
        <v>1021</v>
      </c>
      <c r="B82" s="11" t="s">
        <v>1022</v>
      </c>
      <c r="C82" s="64">
        <v>77.630691999999996</v>
      </c>
      <c r="D82" s="64">
        <v>77.936394000000007</v>
      </c>
      <c r="E82" s="64">
        <v>77.607460000000003</v>
      </c>
      <c r="F82" s="64">
        <v>76.748619000000005</v>
      </c>
      <c r="G82" s="64">
        <v>68.329903000000002</v>
      </c>
      <c r="H82" s="64">
        <v>78.018753000000004</v>
      </c>
      <c r="I82" s="64">
        <v>75.440735000000004</v>
      </c>
      <c r="J82" s="64">
        <v>74.841965000000002</v>
      </c>
      <c r="K82" s="64">
        <v>76.496039999999994</v>
      </c>
      <c r="L82" s="64">
        <v>76.910247999999996</v>
      </c>
      <c r="M82" s="64">
        <v>75.810958999999997</v>
      </c>
      <c r="N82" s="64">
        <v>75.899422000000001</v>
      </c>
      <c r="O82" s="64">
        <v>75.827583000000004</v>
      </c>
      <c r="P82" s="64">
        <v>75.709182999999996</v>
      </c>
      <c r="Q82" s="64">
        <v>75.560547</v>
      </c>
      <c r="R82" s="64">
        <v>75.335594</v>
      </c>
      <c r="S82" s="64">
        <v>75.095405999999997</v>
      </c>
      <c r="T82" s="64">
        <v>74.828559999999996</v>
      </c>
      <c r="U82" s="64">
        <v>74.530670000000001</v>
      </c>
      <c r="V82" s="64">
        <v>74.245148</v>
      </c>
      <c r="W82" s="64">
        <v>74.143883000000002</v>
      </c>
      <c r="X82" s="64">
        <v>73.326035000000005</v>
      </c>
      <c r="Y82" s="64">
        <v>73.042327999999998</v>
      </c>
      <c r="Z82" s="64">
        <v>72.614868000000001</v>
      </c>
      <c r="AA82" s="64">
        <v>72.173119</v>
      </c>
      <c r="AB82" s="64">
        <v>71.671645999999996</v>
      </c>
      <c r="AC82" s="64">
        <v>71.506591999999998</v>
      </c>
      <c r="AD82" s="64">
        <v>71.334418999999997</v>
      </c>
      <c r="AE82" s="64">
        <v>71.285865999999999</v>
      </c>
      <c r="AF82" s="64">
        <v>71.267966999999999</v>
      </c>
      <c r="AG82" s="64">
        <v>71.473183000000006</v>
      </c>
      <c r="AH82" s="64">
        <v>71.396277999999995</v>
      </c>
      <c r="AI82" s="64">
        <v>71.088936000000004</v>
      </c>
      <c r="AJ82" s="64">
        <v>71.024131999999994</v>
      </c>
      <c r="AK82" s="64">
        <v>70.744652000000002</v>
      </c>
      <c r="AL82" s="13">
        <v>-2.9299999999999999E-3</v>
      </c>
    </row>
    <row r="83" spans="1:38" ht="15" customHeight="1" x14ac:dyDescent="0.25">
      <c r="A83" s="7" t="s">
        <v>1023</v>
      </c>
      <c r="B83" s="11" t="s">
        <v>1024</v>
      </c>
      <c r="C83" s="64">
        <v>16.420227000000001</v>
      </c>
      <c r="D83" s="64">
        <v>16.190199</v>
      </c>
      <c r="E83" s="64">
        <v>16.248486</v>
      </c>
      <c r="F83" s="64">
        <v>16.314613000000001</v>
      </c>
      <c r="G83" s="64">
        <v>16.314278000000002</v>
      </c>
      <c r="H83" s="64">
        <v>16.327708999999999</v>
      </c>
      <c r="I83" s="64">
        <v>16.349857</v>
      </c>
      <c r="J83" s="64">
        <v>16.365190999999999</v>
      </c>
      <c r="K83" s="64">
        <v>16.378758999999999</v>
      </c>
      <c r="L83" s="64">
        <v>16.393194000000001</v>
      </c>
      <c r="M83" s="64">
        <v>16.410806999999998</v>
      </c>
      <c r="N83" s="64">
        <v>16.426373000000002</v>
      </c>
      <c r="O83" s="64">
        <v>16.447790000000001</v>
      </c>
      <c r="P83" s="64">
        <v>16.465042</v>
      </c>
      <c r="Q83" s="64">
        <v>16.483125999999999</v>
      </c>
      <c r="R83" s="64">
        <v>16.495114999999998</v>
      </c>
      <c r="S83" s="64">
        <v>16.506250000000001</v>
      </c>
      <c r="T83" s="64">
        <v>16.505154000000001</v>
      </c>
      <c r="U83" s="64">
        <v>16.494914999999999</v>
      </c>
      <c r="V83" s="64">
        <v>16.482178000000001</v>
      </c>
      <c r="W83" s="64">
        <v>16.465906</v>
      </c>
      <c r="X83" s="64">
        <v>16.442824999999999</v>
      </c>
      <c r="Y83" s="64">
        <v>16.419708</v>
      </c>
      <c r="Z83" s="64">
        <v>16.392166</v>
      </c>
      <c r="AA83" s="64">
        <v>16.363389999999999</v>
      </c>
      <c r="AB83" s="64">
        <v>16.330511000000001</v>
      </c>
      <c r="AC83" s="64">
        <v>16.298271</v>
      </c>
      <c r="AD83" s="64">
        <v>16.265167000000002</v>
      </c>
      <c r="AE83" s="64">
        <v>16.227188000000002</v>
      </c>
      <c r="AF83" s="64">
        <v>16.172809999999998</v>
      </c>
      <c r="AG83" s="64">
        <v>16.119139000000001</v>
      </c>
      <c r="AH83" s="64">
        <v>16.061537000000001</v>
      </c>
      <c r="AI83" s="64">
        <v>16.012276</v>
      </c>
      <c r="AJ83" s="64">
        <v>15.961385999999999</v>
      </c>
      <c r="AK83" s="64">
        <v>15.924372999999999</v>
      </c>
      <c r="AL83" s="13">
        <v>-5.0199999999999995E-4</v>
      </c>
    </row>
    <row r="84" spans="1:38" ht="15" customHeight="1" x14ac:dyDescent="0.25">
      <c r="A84" s="7" t="s">
        <v>1025</v>
      </c>
      <c r="B84" s="11" t="s">
        <v>1026</v>
      </c>
      <c r="C84" s="64">
        <v>167.585892</v>
      </c>
      <c r="D84" s="64">
        <v>169.449127</v>
      </c>
      <c r="E84" s="64">
        <v>173.44662500000001</v>
      </c>
      <c r="F84" s="64">
        <v>177.61113</v>
      </c>
      <c r="G84" s="64">
        <v>180.62664799999999</v>
      </c>
      <c r="H84" s="64">
        <v>184.06883199999999</v>
      </c>
      <c r="I84" s="64">
        <v>187.391357</v>
      </c>
      <c r="J84" s="64">
        <v>190.14271500000001</v>
      </c>
      <c r="K84" s="64">
        <v>193.22431900000001</v>
      </c>
      <c r="L84" s="64">
        <v>196.359848</v>
      </c>
      <c r="M84" s="64">
        <v>199.61586</v>
      </c>
      <c r="N84" s="64">
        <v>203.12222299999999</v>
      </c>
      <c r="O84" s="64">
        <v>207.00379899999999</v>
      </c>
      <c r="P84" s="64">
        <v>210.81904599999999</v>
      </c>
      <c r="Q84" s="64">
        <v>214.430374</v>
      </c>
      <c r="R84" s="64">
        <v>217.99852000000001</v>
      </c>
      <c r="S84" s="64">
        <v>221.68867499999999</v>
      </c>
      <c r="T84" s="64">
        <v>225.197159</v>
      </c>
      <c r="U84" s="64">
        <v>228.701447</v>
      </c>
      <c r="V84" s="64">
        <v>232.22271699999999</v>
      </c>
      <c r="W84" s="64">
        <v>235.75337200000001</v>
      </c>
      <c r="X84" s="64">
        <v>239.06838999999999</v>
      </c>
      <c r="Y84" s="64">
        <v>242.49357599999999</v>
      </c>
      <c r="Z84" s="64">
        <v>245.95590200000001</v>
      </c>
      <c r="AA84" s="64">
        <v>249.47482299999999</v>
      </c>
      <c r="AB84" s="64">
        <v>252.87635800000001</v>
      </c>
      <c r="AC84" s="64">
        <v>256.33639499999998</v>
      </c>
      <c r="AD84" s="64">
        <v>259.84414700000002</v>
      </c>
      <c r="AE84" s="64">
        <v>263.396637</v>
      </c>
      <c r="AF84" s="64">
        <v>267.03476000000001</v>
      </c>
      <c r="AG84" s="64">
        <v>270.716339</v>
      </c>
      <c r="AH84" s="64">
        <v>274.39831500000003</v>
      </c>
      <c r="AI84" s="64">
        <v>278.073486</v>
      </c>
      <c r="AJ84" s="64">
        <v>281.67843599999998</v>
      </c>
      <c r="AK84" s="64">
        <v>285.46444700000001</v>
      </c>
      <c r="AL84" s="13">
        <v>1.5931000000000001E-2</v>
      </c>
    </row>
    <row r="85" spans="1:38" ht="15" customHeight="1" x14ac:dyDescent="0.25">
      <c r="A85" s="7" t="s">
        <v>1027</v>
      </c>
      <c r="B85" s="11" t="s">
        <v>1028</v>
      </c>
      <c r="C85" s="64">
        <v>39.218307000000003</v>
      </c>
      <c r="D85" s="64">
        <v>39.328152000000003</v>
      </c>
      <c r="E85" s="64">
        <v>39.979911999999999</v>
      </c>
      <c r="F85" s="64">
        <v>39.825321000000002</v>
      </c>
      <c r="G85" s="64">
        <v>39.646385000000002</v>
      </c>
      <c r="H85" s="64">
        <v>39.477603999999999</v>
      </c>
      <c r="I85" s="64">
        <v>39.194358999999999</v>
      </c>
      <c r="J85" s="64">
        <v>38.992561000000002</v>
      </c>
      <c r="K85" s="64">
        <v>38.964840000000002</v>
      </c>
      <c r="L85" s="64">
        <v>39.039290999999999</v>
      </c>
      <c r="M85" s="64">
        <v>39.124656999999999</v>
      </c>
      <c r="N85" s="64">
        <v>39.218071000000002</v>
      </c>
      <c r="O85" s="64">
        <v>39.553978000000001</v>
      </c>
      <c r="P85" s="64">
        <v>39.985897000000001</v>
      </c>
      <c r="Q85" s="64">
        <v>40.437320999999997</v>
      </c>
      <c r="R85" s="64">
        <v>40.905628</v>
      </c>
      <c r="S85" s="64">
        <v>41.395980999999999</v>
      </c>
      <c r="T85" s="64">
        <v>41.903030000000001</v>
      </c>
      <c r="U85" s="64">
        <v>42.429974000000001</v>
      </c>
      <c r="V85" s="64">
        <v>42.978003999999999</v>
      </c>
      <c r="W85" s="64">
        <v>43.543587000000002</v>
      </c>
      <c r="X85" s="64">
        <v>44.131583999999997</v>
      </c>
      <c r="Y85" s="64">
        <v>44.736640999999999</v>
      </c>
      <c r="Z85" s="64">
        <v>45.358016999999997</v>
      </c>
      <c r="AA85" s="64">
        <v>45.995444999999997</v>
      </c>
      <c r="AB85" s="64">
        <v>46.648353999999998</v>
      </c>
      <c r="AC85" s="64">
        <v>47.314129000000001</v>
      </c>
      <c r="AD85" s="64">
        <v>47.994335</v>
      </c>
      <c r="AE85" s="64">
        <v>48.684643000000001</v>
      </c>
      <c r="AF85" s="64">
        <v>49.385685000000002</v>
      </c>
      <c r="AG85" s="64">
        <v>50.092143999999998</v>
      </c>
      <c r="AH85" s="64">
        <v>50.803576999999997</v>
      </c>
      <c r="AI85" s="64">
        <v>51.529018000000001</v>
      </c>
      <c r="AJ85" s="64">
        <v>52.269103999999999</v>
      </c>
      <c r="AK85" s="64">
        <v>53.019202999999997</v>
      </c>
      <c r="AL85" s="13">
        <v>9.0930000000000004E-3</v>
      </c>
    </row>
    <row r="86" spans="1:38" ht="15" customHeight="1" x14ac:dyDescent="0.25">
      <c r="A86" s="7" t="s">
        <v>1029</v>
      </c>
      <c r="B86" s="11" t="s">
        <v>1030</v>
      </c>
      <c r="C86" s="64">
        <v>5.0336999999999996</v>
      </c>
      <c r="D86" s="64">
        <v>5.0419159999999996</v>
      </c>
      <c r="E86" s="64">
        <v>5.0391159999999999</v>
      </c>
      <c r="F86" s="64">
        <v>5.0419289999999997</v>
      </c>
      <c r="G86" s="64">
        <v>5.0522020000000003</v>
      </c>
      <c r="H86" s="64">
        <v>5.0460979999999998</v>
      </c>
      <c r="I86" s="64">
        <v>5.0386160000000002</v>
      </c>
      <c r="J86" s="64">
        <v>5.0348829999999998</v>
      </c>
      <c r="K86" s="64">
        <v>5.0395019999999997</v>
      </c>
      <c r="L86" s="64">
        <v>5.0459940000000003</v>
      </c>
      <c r="M86" s="64">
        <v>5.054487</v>
      </c>
      <c r="N86" s="64">
        <v>5.0633540000000004</v>
      </c>
      <c r="O86" s="64">
        <v>5.0740480000000003</v>
      </c>
      <c r="P86" s="64">
        <v>5.0834140000000003</v>
      </c>
      <c r="Q86" s="64">
        <v>5.0932959999999996</v>
      </c>
      <c r="R86" s="64">
        <v>5.1014699999999999</v>
      </c>
      <c r="S86" s="64">
        <v>5.1076509999999997</v>
      </c>
      <c r="T86" s="64">
        <v>5.1108460000000004</v>
      </c>
      <c r="U86" s="64">
        <v>5.1144400000000001</v>
      </c>
      <c r="V86" s="64">
        <v>5.1200640000000002</v>
      </c>
      <c r="W86" s="64">
        <v>5.1283339999999997</v>
      </c>
      <c r="X86" s="64">
        <v>5.1374909999999998</v>
      </c>
      <c r="Y86" s="64">
        <v>5.1498010000000001</v>
      </c>
      <c r="Z86" s="64">
        <v>5.165089</v>
      </c>
      <c r="AA86" s="64">
        <v>5.1823670000000002</v>
      </c>
      <c r="AB86" s="64">
        <v>5.2008210000000004</v>
      </c>
      <c r="AC86" s="64">
        <v>5.219436</v>
      </c>
      <c r="AD86" s="64">
        <v>5.2400409999999997</v>
      </c>
      <c r="AE86" s="64">
        <v>5.2628339999999998</v>
      </c>
      <c r="AF86" s="64">
        <v>5.2883779999999998</v>
      </c>
      <c r="AG86" s="64">
        <v>5.3150529999999998</v>
      </c>
      <c r="AH86" s="64">
        <v>5.3416969999999999</v>
      </c>
      <c r="AI86" s="64">
        <v>5.3652680000000004</v>
      </c>
      <c r="AJ86" s="64">
        <v>5.3901700000000003</v>
      </c>
      <c r="AK86" s="64">
        <v>5.4165429999999999</v>
      </c>
      <c r="AL86" s="13">
        <v>2.1740000000000002E-3</v>
      </c>
    </row>
    <row r="87" spans="1:38" ht="15" customHeight="1" x14ac:dyDescent="0.25">
      <c r="A87" s="7" t="s">
        <v>1031</v>
      </c>
      <c r="B87" s="11" t="s">
        <v>1754</v>
      </c>
      <c r="C87" s="64">
        <v>37.315666</v>
      </c>
      <c r="D87" s="64">
        <v>33.692565999999999</v>
      </c>
      <c r="E87" s="64">
        <v>35.289448</v>
      </c>
      <c r="F87" s="64">
        <v>36.157829</v>
      </c>
      <c r="G87" s="64">
        <v>36.2789</v>
      </c>
      <c r="H87" s="64">
        <v>36.095886</v>
      </c>
      <c r="I87" s="64">
        <v>36.410846999999997</v>
      </c>
      <c r="J87" s="64">
        <v>36.717059999999996</v>
      </c>
      <c r="K87" s="64">
        <v>36.985264000000001</v>
      </c>
      <c r="L87" s="64">
        <v>37.186866999999999</v>
      </c>
      <c r="M87" s="64">
        <v>37.023552000000002</v>
      </c>
      <c r="N87" s="64">
        <v>37.184958999999999</v>
      </c>
      <c r="O87" s="64">
        <v>37.324787000000001</v>
      </c>
      <c r="P87" s="64">
        <v>37.403216999999998</v>
      </c>
      <c r="Q87" s="64">
        <v>37.308739000000003</v>
      </c>
      <c r="R87" s="64">
        <v>37.330230999999998</v>
      </c>
      <c r="S87" s="64">
        <v>37.420250000000003</v>
      </c>
      <c r="T87" s="64">
        <v>37.396725000000004</v>
      </c>
      <c r="U87" s="64">
        <v>37.485210000000002</v>
      </c>
      <c r="V87" s="64">
        <v>37.583607000000001</v>
      </c>
      <c r="W87" s="64">
        <v>37.778286000000001</v>
      </c>
      <c r="X87" s="64">
        <v>37.872535999999997</v>
      </c>
      <c r="Y87" s="64">
        <v>37.957211000000001</v>
      </c>
      <c r="Z87" s="64">
        <v>38.052199999999999</v>
      </c>
      <c r="AA87" s="64">
        <v>38.062373999999998</v>
      </c>
      <c r="AB87" s="64">
        <v>38.143993000000002</v>
      </c>
      <c r="AC87" s="64">
        <v>38.366351999999999</v>
      </c>
      <c r="AD87" s="64">
        <v>38.582026999999997</v>
      </c>
      <c r="AE87" s="64">
        <v>38.666584</v>
      </c>
      <c r="AF87" s="64">
        <v>38.852992999999998</v>
      </c>
      <c r="AG87" s="64">
        <v>39.016528999999998</v>
      </c>
      <c r="AH87" s="64">
        <v>39.079948000000002</v>
      </c>
      <c r="AI87" s="64">
        <v>39.261837</v>
      </c>
      <c r="AJ87" s="64">
        <v>39.408740999999999</v>
      </c>
      <c r="AK87" s="64">
        <v>39.641022</v>
      </c>
      <c r="AL87" s="13">
        <v>4.9389999999999998E-3</v>
      </c>
    </row>
    <row r="88" spans="1:38" ht="15" customHeight="1" x14ac:dyDescent="0.25">
      <c r="A88" s="7" t="s">
        <v>1032</v>
      </c>
      <c r="B88" s="11" t="s">
        <v>941</v>
      </c>
      <c r="C88" s="64">
        <v>7.5668949999999997</v>
      </c>
      <c r="D88" s="64">
        <v>10.492065</v>
      </c>
      <c r="E88" s="64">
        <v>39.065185999999997</v>
      </c>
      <c r="F88" s="64">
        <v>34.474243000000001</v>
      </c>
      <c r="G88" s="64">
        <v>29.451903999999999</v>
      </c>
      <c r="H88" s="64">
        <v>30.601317999999999</v>
      </c>
      <c r="I88" s="64">
        <v>31.621825999999999</v>
      </c>
      <c r="J88" s="64">
        <v>32.546753000000002</v>
      </c>
      <c r="K88" s="64">
        <v>33.716064000000003</v>
      </c>
      <c r="L88" s="64">
        <v>34.906005999999998</v>
      </c>
      <c r="M88" s="64">
        <v>36.021605999999998</v>
      </c>
      <c r="N88" s="64">
        <v>37.090575999999999</v>
      </c>
      <c r="O88" s="64">
        <v>38.372436999999998</v>
      </c>
      <c r="P88" s="64">
        <v>39.712524000000002</v>
      </c>
      <c r="Q88" s="64">
        <v>40.981811999999998</v>
      </c>
      <c r="R88" s="64">
        <v>42.410400000000003</v>
      </c>
      <c r="S88" s="64">
        <v>43.913939999999997</v>
      </c>
      <c r="T88" s="64">
        <v>45.066650000000003</v>
      </c>
      <c r="U88" s="64">
        <v>46.000487999999997</v>
      </c>
      <c r="V88" s="64">
        <v>46.875731999999999</v>
      </c>
      <c r="W88" s="64">
        <v>47.608398000000001</v>
      </c>
      <c r="X88" s="64">
        <v>48.280396000000003</v>
      </c>
      <c r="Y88" s="64">
        <v>48.978394000000002</v>
      </c>
      <c r="Z88" s="64">
        <v>49.705565999999997</v>
      </c>
      <c r="AA88" s="64">
        <v>50.502074999999998</v>
      </c>
      <c r="AB88" s="64">
        <v>51.143676999999997</v>
      </c>
      <c r="AC88" s="64">
        <v>51.848145000000002</v>
      </c>
      <c r="AD88" s="64">
        <v>52.566772</v>
      </c>
      <c r="AE88" s="64">
        <v>53.395142</v>
      </c>
      <c r="AF88" s="64">
        <v>54.000976999999999</v>
      </c>
      <c r="AG88" s="64">
        <v>54.660034000000003</v>
      </c>
      <c r="AH88" s="64">
        <v>55.435425000000002</v>
      </c>
      <c r="AI88" s="64">
        <v>56.573974999999997</v>
      </c>
      <c r="AJ88" s="64">
        <v>57.801636000000002</v>
      </c>
      <c r="AK88" s="64">
        <v>58.688842999999999</v>
      </c>
      <c r="AL88" s="13">
        <v>5.3554999999999998E-2</v>
      </c>
    </row>
    <row r="89" spans="1:38" ht="15" customHeight="1" x14ac:dyDescent="0.25">
      <c r="A89" s="7" t="s">
        <v>1033</v>
      </c>
      <c r="B89" s="10" t="s">
        <v>1034</v>
      </c>
      <c r="C89" s="140">
        <v>1878.804932</v>
      </c>
      <c r="D89" s="140">
        <v>1870.796875</v>
      </c>
      <c r="E89" s="140">
        <v>1893.430298</v>
      </c>
      <c r="F89" s="140">
        <v>1889.8116460000001</v>
      </c>
      <c r="G89" s="140">
        <v>1860.80835</v>
      </c>
      <c r="H89" s="140">
        <v>1848.6480710000001</v>
      </c>
      <c r="I89" s="140">
        <v>1823.144043</v>
      </c>
      <c r="J89" s="140">
        <v>1796.1660159999999</v>
      </c>
      <c r="K89" s="140">
        <v>1770.8992920000001</v>
      </c>
      <c r="L89" s="140">
        <v>1743.557495</v>
      </c>
      <c r="M89" s="140">
        <v>1722.099976</v>
      </c>
      <c r="N89" s="140">
        <v>1704.174561</v>
      </c>
      <c r="O89" s="140">
        <v>1689.6427000000001</v>
      </c>
      <c r="P89" s="140">
        <v>1677.0756839999999</v>
      </c>
      <c r="Q89" s="140">
        <v>1666.640991</v>
      </c>
      <c r="R89" s="140">
        <v>1658.9331050000001</v>
      </c>
      <c r="S89" s="140">
        <v>1652.4212649999999</v>
      </c>
      <c r="T89" s="140">
        <v>1645.6256100000001</v>
      </c>
      <c r="U89" s="140">
        <v>1640.826538</v>
      </c>
      <c r="V89" s="140">
        <v>1637.828491</v>
      </c>
      <c r="W89" s="140">
        <v>1638.8946530000001</v>
      </c>
      <c r="X89" s="140">
        <v>1639.0394289999999</v>
      </c>
      <c r="Y89" s="140">
        <v>1641.559082</v>
      </c>
      <c r="Z89" s="140">
        <v>1645.0489500000001</v>
      </c>
      <c r="AA89" s="140">
        <v>1650.3569339999999</v>
      </c>
      <c r="AB89" s="140">
        <v>1657.2067870000001</v>
      </c>
      <c r="AC89" s="140">
        <v>1665.380249</v>
      </c>
      <c r="AD89" s="140">
        <v>1674.9770510000001</v>
      </c>
      <c r="AE89" s="140">
        <v>1686.273682</v>
      </c>
      <c r="AF89" s="140">
        <v>1695.2296140000001</v>
      </c>
      <c r="AG89" s="140">
        <v>1705.5505370000001</v>
      </c>
      <c r="AH89" s="140">
        <v>1717.559937</v>
      </c>
      <c r="AI89" s="140">
        <v>1732.345337</v>
      </c>
      <c r="AJ89" s="140">
        <v>1748.3237300000001</v>
      </c>
      <c r="AK89" s="140">
        <v>1763.6301269999999</v>
      </c>
      <c r="AL89" s="15">
        <v>-1.786E-3</v>
      </c>
    </row>
    <row r="92" spans="1:38" ht="15" customHeight="1" x14ac:dyDescent="0.25">
      <c r="B92" s="10" t="s">
        <v>1035</v>
      </c>
    </row>
    <row r="93" spans="1:38" ht="15" customHeight="1" x14ac:dyDescent="0.25">
      <c r="A93" s="7" t="s">
        <v>1036</v>
      </c>
      <c r="B93" s="11" t="s">
        <v>1037</v>
      </c>
      <c r="C93" s="64">
        <v>185.587784</v>
      </c>
      <c r="D93" s="64">
        <v>172.07560699999999</v>
      </c>
      <c r="E93" s="64">
        <v>173.20877100000001</v>
      </c>
      <c r="F93" s="64">
        <v>176.415955</v>
      </c>
      <c r="G93" s="64">
        <v>182.123672</v>
      </c>
      <c r="H93" s="64">
        <v>184.74496500000001</v>
      </c>
      <c r="I93" s="64">
        <v>187.424881</v>
      </c>
      <c r="J93" s="64">
        <v>190.54306</v>
      </c>
      <c r="K93" s="64">
        <v>195.481033</v>
      </c>
      <c r="L93" s="64">
        <v>197.397491</v>
      </c>
      <c r="M93" s="64">
        <v>198.86080899999999</v>
      </c>
      <c r="N93" s="64">
        <v>201.088562</v>
      </c>
      <c r="O93" s="64">
        <v>204.22155799999999</v>
      </c>
      <c r="P93" s="64">
        <v>205.64738500000001</v>
      </c>
      <c r="Q93" s="64">
        <v>209.15986599999999</v>
      </c>
      <c r="R93" s="64">
        <v>212.83223000000001</v>
      </c>
      <c r="S93" s="64">
        <v>215.89205899999999</v>
      </c>
      <c r="T93" s="64">
        <v>218.534302</v>
      </c>
      <c r="U93" s="64">
        <v>221.13320899999999</v>
      </c>
      <c r="V93" s="64">
        <v>223.85199</v>
      </c>
      <c r="W93" s="64">
        <v>226.779358</v>
      </c>
      <c r="X93" s="64">
        <v>228.563751</v>
      </c>
      <c r="Y93" s="64">
        <v>231.15501399999999</v>
      </c>
      <c r="Z93" s="64">
        <v>233.90093999999999</v>
      </c>
      <c r="AA93" s="64">
        <v>236.90559400000001</v>
      </c>
      <c r="AB93" s="64">
        <v>240.12046799999999</v>
      </c>
      <c r="AC93" s="64">
        <v>243.070999</v>
      </c>
      <c r="AD93" s="64">
        <v>245.74437</v>
      </c>
      <c r="AE93" s="64">
        <v>247.861694</v>
      </c>
      <c r="AF93" s="64">
        <v>249.96521000000001</v>
      </c>
      <c r="AG93" s="64">
        <v>252.369034</v>
      </c>
      <c r="AH93" s="64">
        <v>254.71791099999999</v>
      </c>
      <c r="AI93" s="64">
        <v>257.45086700000002</v>
      </c>
      <c r="AJ93" s="64">
        <v>259.43557700000002</v>
      </c>
      <c r="AK93" s="64">
        <v>261.910797</v>
      </c>
      <c r="AL93" s="13">
        <v>1.2810999999999999E-2</v>
      </c>
    </row>
    <row r="94" spans="1:38" ht="15" customHeight="1" x14ac:dyDescent="0.25">
      <c r="A94" s="7" t="s">
        <v>1038</v>
      </c>
      <c r="B94" s="11" t="s">
        <v>1039</v>
      </c>
      <c r="C94" s="64">
        <v>20.296506999999998</v>
      </c>
      <c r="D94" s="64">
        <v>9.4453390000000006</v>
      </c>
      <c r="E94" s="64">
        <v>9.4017029999999995</v>
      </c>
      <c r="F94" s="64">
        <v>10.147990999999999</v>
      </c>
      <c r="G94" s="64">
        <v>11.397620999999999</v>
      </c>
      <c r="H94" s="64">
        <v>10.464461999999999</v>
      </c>
      <c r="I94" s="64">
        <v>10.098763</v>
      </c>
      <c r="J94" s="64">
        <v>11.038760999999999</v>
      </c>
      <c r="K94" s="64">
        <v>14.065343</v>
      </c>
      <c r="L94" s="64">
        <v>15.060636000000001</v>
      </c>
      <c r="M94" s="64">
        <v>15.116618000000001</v>
      </c>
      <c r="N94" s="64">
        <v>15.412849</v>
      </c>
      <c r="O94" s="64">
        <v>16.019856999999998</v>
      </c>
      <c r="P94" s="64">
        <v>14.927206999999999</v>
      </c>
      <c r="Q94" s="64">
        <v>14.840426000000001</v>
      </c>
      <c r="R94" s="64">
        <v>14.828946999999999</v>
      </c>
      <c r="S94" s="64">
        <v>14.678561</v>
      </c>
      <c r="T94" s="64">
        <v>14.783597</v>
      </c>
      <c r="U94" s="64">
        <v>14.581481</v>
      </c>
      <c r="V94" s="64">
        <v>14.743973</v>
      </c>
      <c r="W94" s="64">
        <v>15.156962999999999</v>
      </c>
      <c r="X94" s="64">
        <v>14.864985000000001</v>
      </c>
      <c r="Y94" s="64">
        <v>15.144752</v>
      </c>
      <c r="Z94" s="64">
        <v>15.48977</v>
      </c>
      <c r="AA94" s="64">
        <v>15.717983</v>
      </c>
      <c r="AB94" s="64">
        <v>15.701995999999999</v>
      </c>
      <c r="AC94" s="64">
        <v>15.628799000000001</v>
      </c>
      <c r="AD94" s="64">
        <v>15.680132</v>
      </c>
      <c r="AE94" s="64">
        <v>15.046411000000001</v>
      </c>
      <c r="AF94" s="64">
        <v>14.679949000000001</v>
      </c>
      <c r="AG94" s="64">
        <v>14.689493000000001</v>
      </c>
      <c r="AH94" s="64">
        <v>14.427477</v>
      </c>
      <c r="AI94" s="64">
        <v>14.995540999999999</v>
      </c>
      <c r="AJ94" s="64">
        <v>15.12973</v>
      </c>
      <c r="AK94" s="64">
        <v>15.417346</v>
      </c>
      <c r="AL94" s="13">
        <v>1.4958000000000001E-2</v>
      </c>
    </row>
    <row r="95" spans="1:38" ht="15" customHeight="1" x14ac:dyDescent="0.25">
      <c r="A95" s="7" t="s">
        <v>1040</v>
      </c>
      <c r="B95" s="11" t="s">
        <v>1041</v>
      </c>
      <c r="C95" s="64">
        <v>165.29127500000001</v>
      </c>
      <c r="D95" s="64">
        <v>162.63026400000001</v>
      </c>
      <c r="E95" s="64">
        <v>163.80706799999999</v>
      </c>
      <c r="F95" s="64">
        <v>166.26795999999999</v>
      </c>
      <c r="G95" s="64">
        <v>170.726044</v>
      </c>
      <c r="H95" s="64">
        <v>174.28050200000001</v>
      </c>
      <c r="I95" s="64">
        <v>177.32612599999999</v>
      </c>
      <c r="J95" s="64">
        <v>179.50430299999999</v>
      </c>
      <c r="K95" s="64">
        <v>181.415695</v>
      </c>
      <c r="L95" s="64">
        <v>182.33686800000001</v>
      </c>
      <c r="M95" s="64">
        <v>183.74418600000001</v>
      </c>
      <c r="N95" s="64">
        <v>185.67572000000001</v>
      </c>
      <c r="O95" s="64">
        <v>188.20169100000001</v>
      </c>
      <c r="P95" s="64">
        <v>190.720169</v>
      </c>
      <c r="Q95" s="64">
        <v>194.31942699999999</v>
      </c>
      <c r="R95" s="64">
        <v>198.00328099999999</v>
      </c>
      <c r="S95" s="64">
        <v>201.21350100000001</v>
      </c>
      <c r="T95" s="64">
        <v>203.75070199999999</v>
      </c>
      <c r="U95" s="64">
        <v>206.55174299999999</v>
      </c>
      <c r="V95" s="64">
        <v>209.10801699999999</v>
      </c>
      <c r="W95" s="64">
        <v>211.62240600000001</v>
      </c>
      <c r="X95" s="64">
        <v>213.69876099999999</v>
      </c>
      <c r="Y95" s="64">
        <v>216.01026899999999</v>
      </c>
      <c r="Z95" s="64">
        <v>218.411179</v>
      </c>
      <c r="AA95" s="64">
        <v>221.18760700000001</v>
      </c>
      <c r="AB95" s="64">
        <v>224.41847200000001</v>
      </c>
      <c r="AC95" s="64">
        <v>227.44220000000001</v>
      </c>
      <c r="AD95" s="64">
        <v>230.064224</v>
      </c>
      <c r="AE95" s="64">
        <v>232.815292</v>
      </c>
      <c r="AF95" s="64">
        <v>235.28526299999999</v>
      </c>
      <c r="AG95" s="64">
        <v>237.67952</v>
      </c>
      <c r="AH95" s="64">
        <v>240.29042100000001</v>
      </c>
      <c r="AI95" s="64">
        <v>242.455322</v>
      </c>
      <c r="AJ95" s="64">
        <v>244.305847</v>
      </c>
      <c r="AK95" s="64">
        <v>246.493439</v>
      </c>
      <c r="AL95" s="13">
        <v>1.2681E-2</v>
      </c>
    </row>
    <row r="96" spans="1:38" ht="15" customHeight="1" x14ac:dyDescent="0.25">
      <c r="A96" s="7" t="s">
        <v>1042</v>
      </c>
      <c r="B96" s="11" t="s">
        <v>1043</v>
      </c>
      <c r="C96" s="64">
        <v>30.849543000000001</v>
      </c>
      <c r="D96" s="64">
        <v>31.412776999999998</v>
      </c>
      <c r="E96" s="64">
        <v>31.970289000000001</v>
      </c>
      <c r="F96" s="64">
        <v>33.172215000000001</v>
      </c>
      <c r="G96" s="64">
        <v>33.660507000000003</v>
      </c>
      <c r="H96" s="64">
        <v>33.906512999999997</v>
      </c>
      <c r="I96" s="64">
        <v>33.725754000000002</v>
      </c>
      <c r="J96" s="64">
        <v>33.299453999999997</v>
      </c>
      <c r="K96" s="64">
        <v>33.118011000000003</v>
      </c>
      <c r="L96" s="64">
        <v>33.298397000000001</v>
      </c>
      <c r="M96" s="64">
        <v>33.165745000000001</v>
      </c>
      <c r="N96" s="64">
        <v>33.168182000000002</v>
      </c>
      <c r="O96" s="64">
        <v>33.869484</v>
      </c>
      <c r="P96" s="64">
        <v>34.125622</v>
      </c>
      <c r="Q96" s="64">
        <v>34.065651000000003</v>
      </c>
      <c r="R96" s="64">
        <v>33.879913000000002</v>
      </c>
      <c r="S96" s="64">
        <v>33.685966000000001</v>
      </c>
      <c r="T96" s="64">
        <v>33.705478999999997</v>
      </c>
      <c r="U96" s="64">
        <v>33.974257999999999</v>
      </c>
      <c r="V96" s="64">
        <v>33.796813999999998</v>
      </c>
      <c r="W96" s="64">
        <v>34.089244999999998</v>
      </c>
      <c r="X96" s="64">
        <v>34.272571999999997</v>
      </c>
      <c r="Y96" s="64">
        <v>34.172618999999997</v>
      </c>
      <c r="Z96" s="64">
        <v>34.199241999999998</v>
      </c>
      <c r="AA96" s="64">
        <v>34.666103</v>
      </c>
      <c r="AB96" s="64">
        <v>34.431624999999997</v>
      </c>
      <c r="AC96" s="64">
        <v>34.786873</v>
      </c>
      <c r="AD96" s="64">
        <v>35.804104000000002</v>
      </c>
      <c r="AE96" s="64">
        <v>35.877937000000003</v>
      </c>
      <c r="AF96" s="64">
        <v>35.794601</v>
      </c>
      <c r="AG96" s="64">
        <v>36.321086999999999</v>
      </c>
      <c r="AH96" s="64">
        <v>36.342621000000001</v>
      </c>
      <c r="AI96" s="64">
        <v>36.192191999999999</v>
      </c>
      <c r="AJ96" s="64">
        <v>36.254021000000002</v>
      </c>
      <c r="AK96" s="64">
        <v>36.282916999999998</v>
      </c>
      <c r="AL96" s="13">
        <v>4.3769999999999998E-3</v>
      </c>
    </row>
    <row r="97" spans="1:38" ht="15" customHeight="1" x14ac:dyDescent="0.25">
      <c r="A97" s="7" t="s">
        <v>1044</v>
      </c>
      <c r="B97" s="11" t="s">
        <v>1045</v>
      </c>
      <c r="C97" s="64">
        <v>77.816315000000003</v>
      </c>
      <c r="D97" s="64">
        <v>76.628928999999999</v>
      </c>
      <c r="E97" s="64">
        <v>76.049103000000002</v>
      </c>
      <c r="F97" s="64">
        <v>79.722153000000006</v>
      </c>
      <c r="G97" s="64">
        <v>79.817550999999995</v>
      </c>
      <c r="H97" s="64">
        <v>79.936110999999997</v>
      </c>
      <c r="I97" s="64">
        <v>80.077186999999995</v>
      </c>
      <c r="J97" s="64">
        <v>80.201026999999996</v>
      </c>
      <c r="K97" s="64">
        <v>79.624741</v>
      </c>
      <c r="L97" s="64">
        <v>80.488151999999999</v>
      </c>
      <c r="M97" s="64">
        <v>79.960175000000007</v>
      </c>
      <c r="N97" s="64">
        <v>80.097153000000006</v>
      </c>
      <c r="O97" s="64">
        <v>80.688141000000002</v>
      </c>
      <c r="P97" s="64">
        <v>80.805367000000004</v>
      </c>
      <c r="Q97" s="64">
        <v>80.978888999999995</v>
      </c>
      <c r="R97" s="64">
        <v>80.613533000000004</v>
      </c>
      <c r="S97" s="64">
        <v>80.841316000000006</v>
      </c>
      <c r="T97" s="64">
        <v>80.604134000000002</v>
      </c>
      <c r="U97" s="64">
        <v>80.780304000000001</v>
      </c>
      <c r="V97" s="64">
        <v>80.925156000000001</v>
      </c>
      <c r="W97" s="64">
        <v>80.924819999999997</v>
      </c>
      <c r="X97" s="64">
        <v>80.924201999999994</v>
      </c>
      <c r="Y97" s="64">
        <v>80.924132999999998</v>
      </c>
      <c r="Z97" s="64">
        <v>80.922752000000003</v>
      </c>
      <c r="AA97" s="64">
        <v>80.402679000000006</v>
      </c>
      <c r="AB97" s="64">
        <v>80.526916999999997</v>
      </c>
      <c r="AC97" s="64">
        <v>80.395302000000001</v>
      </c>
      <c r="AD97" s="64">
        <v>79.351128000000003</v>
      </c>
      <c r="AE97" s="64">
        <v>79.304321000000002</v>
      </c>
      <c r="AF97" s="64">
        <v>79.049149</v>
      </c>
      <c r="AG97" s="64">
        <v>78.393303000000003</v>
      </c>
      <c r="AH97" s="64">
        <v>78.048507999999998</v>
      </c>
      <c r="AI97" s="64">
        <v>77.918075999999999</v>
      </c>
      <c r="AJ97" s="64">
        <v>77.765259</v>
      </c>
      <c r="AK97" s="64">
        <v>77.401955000000001</v>
      </c>
      <c r="AL97" s="13">
        <v>3.0400000000000002E-4</v>
      </c>
    </row>
    <row r="98" spans="1:38" ht="15" customHeight="1" x14ac:dyDescent="0.25">
      <c r="A98" s="7" t="s">
        <v>1046</v>
      </c>
      <c r="B98" s="11" t="s">
        <v>1047</v>
      </c>
      <c r="C98" s="64">
        <v>79.918105999999995</v>
      </c>
      <c r="D98" s="64">
        <v>81.408325000000005</v>
      </c>
      <c r="E98" s="64">
        <v>82.829223999999996</v>
      </c>
      <c r="F98" s="64">
        <v>82.65728</v>
      </c>
      <c r="G98" s="64">
        <v>81.606468000000007</v>
      </c>
      <c r="H98" s="64">
        <v>81.438095000000004</v>
      </c>
      <c r="I98" s="64">
        <v>80.950523000000004</v>
      </c>
      <c r="J98" s="64">
        <v>80.515548999999993</v>
      </c>
      <c r="K98" s="64">
        <v>80.026672000000005</v>
      </c>
      <c r="L98" s="64">
        <v>79.771957</v>
      </c>
      <c r="M98" s="64">
        <v>78.544005999999996</v>
      </c>
      <c r="N98" s="64">
        <v>78.020331999999996</v>
      </c>
      <c r="O98" s="64">
        <v>76.868163999999993</v>
      </c>
      <c r="P98" s="64">
        <v>75.700066000000007</v>
      </c>
      <c r="Q98" s="64">
        <v>74.287231000000006</v>
      </c>
      <c r="R98" s="64">
        <v>72.333961000000002</v>
      </c>
      <c r="S98" s="64">
        <v>70.995575000000002</v>
      </c>
      <c r="T98" s="64">
        <v>70.478386</v>
      </c>
      <c r="U98" s="64">
        <v>70.343384</v>
      </c>
      <c r="V98" s="64">
        <v>70.333725000000001</v>
      </c>
      <c r="W98" s="64">
        <v>70.333922999999999</v>
      </c>
      <c r="X98" s="64">
        <v>70.339432000000002</v>
      </c>
      <c r="Y98" s="64">
        <v>70.342215999999993</v>
      </c>
      <c r="Z98" s="64">
        <v>70.33802</v>
      </c>
      <c r="AA98" s="64">
        <v>70.338142000000005</v>
      </c>
      <c r="AB98" s="64">
        <v>70.338913000000005</v>
      </c>
      <c r="AC98" s="64">
        <v>70.338448</v>
      </c>
      <c r="AD98" s="64">
        <v>70.514549000000002</v>
      </c>
      <c r="AE98" s="64">
        <v>70.529792999999998</v>
      </c>
      <c r="AF98" s="64">
        <v>72.27552</v>
      </c>
      <c r="AG98" s="64">
        <v>73.979720999999998</v>
      </c>
      <c r="AH98" s="64">
        <v>75.498351999999997</v>
      </c>
      <c r="AI98" s="64">
        <v>75.499534999999995</v>
      </c>
      <c r="AJ98" s="64">
        <v>75.494163999999998</v>
      </c>
      <c r="AK98" s="64">
        <v>75.562156999999999</v>
      </c>
      <c r="AL98" s="13">
        <v>-2.2560000000000002E-3</v>
      </c>
    </row>
    <row r="99" spans="1:38" ht="15" customHeight="1" x14ac:dyDescent="0.25">
      <c r="A99" s="7" t="s">
        <v>1048</v>
      </c>
      <c r="B99" s="11" t="s">
        <v>1049</v>
      </c>
      <c r="C99" s="64">
        <v>22.339102</v>
      </c>
      <c r="D99" s="64">
        <v>22.121804999999998</v>
      </c>
      <c r="E99" s="64">
        <v>23.364474999999999</v>
      </c>
      <c r="F99" s="64">
        <v>21.490604000000001</v>
      </c>
      <c r="G99" s="64">
        <v>21.80348</v>
      </c>
      <c r="H99" s="64">
        <v>21.554928</v>
      </c>
      <c r="I99" s="64">
        <v>21.301335999999999</v>
      </c>
      <c r="J99" s="64">
        <v>21.303035999999999</v>
      </c>
      <c r="K99" s="64">
        <v>21.313026000000001</v>
      </c>
      <c r="L99" s="64">
        <v>21.270341999999999</v>
      </c>
      <c r="M99" s="64">
        <v>21.255409</v>
      </c>
      <c r="N99" s="64">
        <v>21.352884</v>
      </c>
      <c r="O99" s="64">
        <v>21.378225</v>
      </c>
      <c r="P99" s="64">
        <v>21.433764</v>
      </c>
      <c r="Q99" s="64">
        <v>21.575485</v>
      </c>
      <c r="R99" s="64">
        <v>21.698855999999999</v>
      </c>
      <c r="S99" s="64">
        <v>21.848438000000002</v>
      </c>
      <c r="T99" s="64">
        <v>21.917788999999999</v>
      </c>
      <c r="U99" s="64">
        <v>21.963090999999999</v>
      </c>
      <c r="V99" s="64">
        <v>21.995284999999999</v>
      </c>
      <c r="W99" s="64">
        <v>22.040503999999999</v>
      </c>
      <c r="X99" s="64">
        <v>22.053635</v>
      </c>
      <c r="Y99" s="64">
        <v>22.112722000000002</v>
      </c>
      <c r="Z99" s="64">
        <v>22.081064000000001</v>
      </c>
      <c r="AA99" s="64">
        <v>22.098842999999999</v>
      </c>
      <c r="AB99" s="64">
        <v>22.184221000000001</v>
      </c>
      <c r="AC99" s="64">
        <v>22.151596000000001</v>
      </c>
      <c r="AD99" s="64">
        <v>22.178328</v>
      </c>
      <c r="AE99" s="64">
        <v>22.221201000000001</v>
      </c>
      <c r="AF99" s="64">
        <v>22.202873</v>
      </c>
      <c r="AG99" s="64">
        <v>22.228210000000001</v>
      </c>
      <c r="AH99" s="64">
        <v>22.190901</v>
      </c>
      <c r="AI99" s="64">
        <v>22.313683999999999</v>
      </c>
      <c r="AJ99" s="64">
        <v>22.051442999999999</v>
      </c>
      <c r="AK99" s="64">
        <v>22.312425999999999</v>
      </c>
      <c r="AL99" s="13">
        <v>2.5999999999999998E-4</v>
      </c>
    </row>
    <row r="100" spans="1:38" ht="15" customHeight="1" x14ac:dyDescent="0.25">
      <c r="A100" s="7" t="s">
        <v>1050</v>
      </c>
      <c r="B100" s="11" t="s">
        <v>1051</v>
      </c>
      <c r="C100" s="64">
        <v>0</v>
      </c>
      <c r="D100" s="64">
        <v>0</v>
      </c>
      <c r="E100" s="64">
        <v>3.3806999999999997E-2</v>
      </c>
      <c r="F100" s="64">
        <v>0</v>
      </c>
      <c r="G100" s="64">
        <v>0</v>
      </c>
      <c r="H100" s="64">
        <v>0</v>
      </c>
      <c r="I100" s="64">
        <v>8.2050000000000005E-3</v>
      </c>
      <c r="J100" s="64">
        <v>0.127078</v>
      </c>
      <c r="K100" s="64">
        <v>0.244417</v>
      </c>
      <c r="L100" s="64">
        <v>0.263262</v>
      </c>
      <c r="M100" s="64">
        <v>0.30243799999999998</v>
      </c>
      <c r="N100" s="64">
        <v>0.33240799999999998</v>
      </c>
      <c r="O100" s="64">
        <v>0.43393199999999998</v>
      </c>
      <c r="P100" s="64">
        <v>0.43393199999999998</v>
      </c>
      <c r="Q100" s="64">
        <v>0.43393199999999998</v>
      </c>
      <c r="R100" s="64">
        <v>0.43393199999999998</v>
      </c>
      <c r="S100" s="64">
        <v>0.33198699999999998</v>
      </c>
      <c r="T100" s="64">
        <v>0.33524500000000002</v>
      </c>
      <c r="U100" s="64">
        <v>0.40305999999999997</v>
      </c>
      <c r="V100" s="64">
        <v>0.43393199999999998</v>
      </c>
      <c r="W100" s="64">
        <v>0.43393199999999998</v>
      </c>
      <c r="X100" s="64">
        <v>0.43393199999999998</v>
      </c>
      <c r="Y100" s="64">
        <v>0.43393199999999998</v>
      </c>
      <c r="Z100" s="64">
        <v>0.43393199999999998</v>
      </c>
      <c r="AA100" s="64">
        <v>0.43393199999999998</v>
      </c>
      <c r="AB100" s="64">
        <v>0.43393199999999998</v>
      </c>
      <c r="AC100" s="64">
        <v>0.43393199999999998</v>
      </c>
      <c r="AD100" s="64">
        <v>0.26325799999999999</v>
      </c>
      <c r="AE100" s="64">
        <v>0.263262</v>
      </c>
      <c r="AF100" s="64">
        <v>0.26159199999999999</v>
      </c>
      <c r="AG100" s="64">
        <v>0.26326100000000002</v>
      </c>
      <c r="AH100" s="64">
        <v>0.26326300000000002</v>
      </c>
      <c r="AI100" s="64">
        <v>0.263262</v>
      </c>
      <c r="AJ100" s="64">
        <v>0.26326100000000002</v>
      </c>
      <c r="AK100" s="64">
        <v>0.20080100000000001</v>
      </c>
      <c r="AL100" s="13" t="s">
        <v>9</v>
      </c>
    </row>
    <row r="101" spans="1:38" ht="15" customHeight="1" x14ac:dyDescent="0.25">
      <c r="A101" s="7" t="s">
        <v>1052</v>
      </c>
      <c r="B101" s="11" t="s">
        <v>1053</v>
      </c>
      <c r="C101" s="64">
        <v>2.7839879999999999</v>
      </c>
      <c r="D101" s="64">
        <v>3.9481229999999998</v>
      </c>
      <c r="E101" s="64">
        <v>4.8592570000000004</v>
      </c>
      <c r="F101" s="64">
        <v>6.098808</v>
      </c>
      <c r="G101" s="64">
        <v>7.5157020000000001</v>
      </c>
      <c r="H101" s="64">
        <v>7.5551820000000003</v>
      </c>
      <c r="I101" s="64">
        <v>8.0556730000000005</v>
      </c>
      <c r="J101" s="64">
        <v>8.0812709999999992</v>
      </c>
      <c r="K101" s="64">
        <v>8.1112549999999999</v>
      </c>
      <c r="L101" s="64">
        <v>8.1815099999999994</v>
      </c>
      <c r="M101" s="64">
        <v>8.2524320000000007</v>
      </c>
      <c r="N101" s="64">
        <v>8.1836000000000002</v>
      </c>
      <c r="O101" s="64">
        <v>8.2022639999999996</v>
      </c>
      <c r="P101" s="64">
        <v>8.1945209999999999</v>
      </c>
      <c r="Q101" s="64">
        <v>8.1153490000000001</v>
      </c>
      <c r="R101" s="64">
        <v>8.0432039999999994</v>
      </c>
      <c r="S101" s="64">
        <v>7.9447900000000002</v>
      </c>
      <c r="T101" s="64">
        <v>7.9285040000000002</v>
      </c>
      <c r="U101" s="64">
        <v>7.9527460000000003</v>
      </c>
      <c r="V101" s="64">
        <v>7.9868189999999997</v>
      </c>
      <c r="W101" s="64">
        <v>8.0056650000000005</v>
      </c>
      <c r="X101" s="64">
        <v>8.0441120000000002</v>
      </c>
      <c r="Y101" s="64">
        <v>8.0458619999999996</v>
      </c>
      <c r="Z101" s="64">
        <v>8.1234920000000006</v>
      </c>
      <c r="AA101" s="64">
        <v>8.1613539999999993</v>
      </c>
      <c r="AB101" s="64">
        <v>8.1491000000000007</v>
      </c>
      <c r="AC101" s="64">
        <v>8.2259910000000005</v>
      </c>
      <c r="AD101" s="64">
        <v>8.25685</v>
      </c>
      <c r="AE101" s="64">
        <v>8.2715309999999995</v>
      </c>
      <c r="AF101" s="64">
        <v>8.3285090000000004</v>
      </c>
      <c r="AG101" s="64">
        <v>8.3582459999999994</v>
      </c>
      <c r="AH101" s="64">
        <v>8.4573809999999998</v>
      </c>
      <c r="AI101" s="64">
        <v>8.3825500000000002</v>
      </c>
      <c r="AJ101" s="64">
        <v>8.6882730000000006</v>
      </c>
      <c r="AK101" s="64">
        <v>8.4937090000000008</v>
      </c>
      <c r="AL101" s="13">
        <v>2.3486E-2</v>
      </c>
    </row>
    <row r="102" spans="1:38" ht="15" customHeight="1" thickBot="1" x14ac:dyDescent="0.3">
      <c r="A102" s="7" t="s">
        <v>1054</v>
      </c>
      <c r="B102" s="10" t="s">
        <v>1055</v>
      </c>
      <c r="C102" s="140">
        <v>399.29486100000003</v>
      </c>
      <c r="D102" s="140">
        <v>387.595551</v>
      </c>
      <c r="E102" s="140">
        <v>392.314911</v>
      </c>
      <c r="F102" s="140">
        <v>399.557007</v>
      </c>
      <c r="G102" s="140">
        <v>406.52740499999999</v>
      </c>
      <c r="H102" s="140">
        <v>409.13580300000001</v>
      </c>
      <c r="I102" s="140">
        <v>411.54354899999998</v>
      </c>
      <c r="J102" s="140">
        <v>414.07046500000001</v>
      </c>
      <c r="K102" s="140">
        <v>417.91915899999998</v>
      </c>
      <c r="L102" s="140">
        <v>420.67114299999997</v>
      </c>
      <c r="M102" s="140">
        <v>420.341003</v>
      </c>
      <c r="N102" s="140">
        <v>422.24307299999998</v>
      </c>
      <c r="O102" s="140">
        <v>425.66177399999998</v>
      </c>
      <c r="P102" s="140">
        <v>426.34066799999999</v>
      </c>
      <c r="Q102" s="140">
        <v>428.61642499999999</v>
      </c>
      <c r="R102" s="140">
        <v>429.83563199999998</v>
      </c>
      <c r="S102" s="140">
        <v>431.54016100000001</v>
      </c>
      <c r="T102" s="140">
        <v>433.50381499999997</v>
      </c>
      <c r="U102" s="140">
        <v>436.550049</v>
      </c>
      <c r="V102" s="140">
        <v>439.32376099999999</v>
      </c>
      <c r="W102" s="140">
        <v>442.60742199999999</v>
      </c>
      <c r="X102" s="140">
        <v>444.63165300000003</v>
      </c>
      <c r="Y102" s="140">
        <v>447.18652300000002</v>
      </c>
      <c r="Z102" s="140">
        <v>449.99945100000002</v>
      </c>
      <c r="AA102" s="140">
        <v>453.00662199999999</v>
      </c>
      <c r="AB102" s="140">
        <v>456.185181</v>
      </c>
      <c r="AC102" s="140">
        <v>459.40313700000002</v>
      </c>
      <c r="AD102" s="140">
        <v>462.112549</v>
      </c>
      <c r="AE102" s="140">
        <v>464.32974200000001</v>
      </c>
      <c r="AF102" s="140">
        <v>467.87747200000001</v>
      </c>
      <c r="AG102" s="140">
        <v>471.91290300000003</v>
      </c>
      <c r="AH102" s="140">
        <v>475.51895100000002</v>
      </c>
      <c r="AI102" s="140">
        <v>478.02020299999998</v>
      </c>
      <c r="AJ102" s="140">
        <v>479.95202599999999</v>
      </c>
      <c r="AK102" s="140">
        <v>482.16479500000003</v>
      </c>
      <c r="AL102" s="15">
        <v>6.6379999999999998E-3</v>
      </c>
    </row>
    <row r="103" spans="1:38" ht="15" customHeight="1" x14ac:dyDescent="0.25">
      <c r="B103" s="369" t="s">
        <v>1056</v>
      </c>
      <c r="C103" s="369"/>
      <c r="D103" s="369"/>
      <c r="E103" s="369"/>
      <c r="F103" s="369"/>
      <c r="G103" s="369"/>
      <c r="H103" s="369"/>
      <c r="I103" s="369"/>
      <c r="J103" s="369"/>
      <c r="K103" s="369"/>
      <c r="L103" s="369"/>
      <c r="M103" s="369"/>
      <c r="N103" s="369"/>
      <c r="O103" s="369"/>
      <c r="P103" s="369"/>
      <c r="Q103" s="369"/>
      <c r="R103" s="369"/>
      <c r="S103" s="369"/>
      <c r="T103" s="369"/>
      <c r="U103" s="369"/>
      <c r="V103" s="369"/>
      <c r="W103" s="369"/>
      <c r="X103" s="369"/>
      <c r="Y103" s="369"/>
      <c r="Z103" s="369"/>
      <c r="AA103" s="369"/>
      <c r="AB103" s="369"/>
      <c r="AC103" s="369"/>
      <c r="AD103" s="369"/>
      <c r="AE103" s="369"/>
      <c r="AF103" s="369"/>
      <c r="AG103" s="369"/>
      <c r="AH103" s="369"/>
      <c r="AI103" s="369"/>
      <c r="AJ103" s="369"/>
      <c r="AK103" s="369"/>
      <c r="AL103" s="369"/>
    </row>
    <row r="104" spans="1:38" ht="15" customHeight="1" x14ac:dyDescent="0.25">
      <c r="B104" s="18" t="s">
        <v>1057</v>
      </c>
    </row>
    <row r="105" spans="1:38" ht="15" customHeight="1" x14ac:dyDescent="0.25">
      <c r="B105" s="18" t="s">
        <v>1058</v>
      </c>
    </row>
    <row r="106" spans="1:38" ht="15" customHeight="1" x14ac:dyDescent="0.25">
      <c r="B106" s="18" t="s">
        <v>1755</v>
      </c>
    </row>
    <row r="107" spans="1:38" ht="15" customHeight="1" x14ac:dyDescent="0.25">
      <c r="B107" s="18" t="s">
        <v>1059</v>
      </c>
    </row>
    <row r="108" spans="1:38" ht="15" customHeight="1" x14ac:dyDescent="0.25">
      <c r="B108" s="18" t="s">
        <v>1060</v>
      </c>
    </row>
    <row r="109" spans="1:38" ht="15" customHeight="1" x14ac:dyDescent="0.25">
      <c r="B109" s="18" t="s">
        <v>1061</v>
      </c>
    </row>
    <row r="110" spans="1:38" ht="15" customHeight="1" x14ac:dyDescent="0.25">
      <c r="B110" s="18" t="s">
        <v>1062</v>
      </c>
    </row>
    <row r="111" spans="1:38" ht="15" customHeight="1" x14ac:dyDescent="0.25">
      <c r="B111" s="18" t="s">
        <v>1063</v>
      </c>
    </row>
    <row r="112" spans="1:38" ht="15" customHeight="1" x14ac:dyDescent="0.25">
      <c r="B112" s="18" t="s">
        <v>1064</v>
      </c>
    </row>
    <row r="113" spans="2:2" ht="15" customHeight="1" x14ac:dyDescent="0.25">
      <c r="B113" s="18" t="s">
        <v>1065</v>
      </c>
    </row>
    <row r="114" spans="2:2" ht="15" customHeight="1" x14ac:dyDescent="0.25">
      <c r="B114" s="18" t="s">
        <v>1066</v>
      </c>
    </row>
    <row r="115" spans="2:2" ht="15" customHeight="1" x14ac:dyDescent="0.25">
      <c r="B115" s="18" t="s">
        <v>1067</v>
      </c>
    </row>
    <row r="116" spans="2:2" ht="15" customHeight="1" x14ac:dyDescent="0.25">
      <c r="B116" s="18" t="s">
        <v>1068</v>
      </c>
    </row>
    <row r="117" spans="2:2" ht="15" customHeight="1" x14ac:dyDescent="0.25">
      <c r="B117" s="18" t="s">
        <v>1069</v>
      </c>
    </row>
    <row r="118" spans="2:2" ht="15" customHeight="1" x14ac:dyDescent="0.25">
      <c r="B118" s="18" t="s">
        <v>1070</v>
      </c>
    </row>
    <row r="119" spans="2:2" ht="15" customHeight="1" x14ac:dyDescent="0.25">
      <c r="B119" s="18" t="s">
        <v>1071</v>
      </c>
    </row>
    <row r="120" spans="2:2" ht="15" customHeight="1" x14ac:dyDescent="0.25">
      <c r="B120" s="18" t="s">
        <v>1072</v>
      </c>
    </row>
    <row r="121" spans="2:2" ht="15" customHeight="1" x14ac:dyDescent="0.25">
      <c r="B121" s="18" t="s">
        <v>1073</v>
      </c>
    </row>
    <row r="122" spans="2:2" ht="15" customHeight="1" x14ac:dyDescent="0.25">
      <c r="B122" s="18" t="s">
        <v>1074</v>
      </c>
    </row>
    <row r="123" spans="2:2" ht="15" customHeight="1" x14ac:dyDescent="0.25">
      <c r="B123" s="18" t="s">
        <v>193</v>
      </c>
    </row>
    <row r="124" spans="2:2" ht="15" customHeight="1" x14ac:dyDescent="0.25">
      <c r="B124" s="18" t="s">
        <v>1756</v>
      </c>
    </row>
    <row r="125" spans="2:2" ht="15" customHeight="1" x14ac:dyDescent="0.25">
      <c r="B125" s="18" t="s">
        <v>458</v>
      </c>
    </row>
    <row r="126" spans="2:2" ht="15" customHeight="1" x14ac:dyDescent="0.25">
      <c r="B126" s="18" t="s">
        <v>1757</v>
      </c>
    </row>
    <row r="127" spans="2:2" ht="15" customHeight="1" x14ac:dyDescent="0.25">
      <c r="B127" s="18" t="s">
        <v>1758</v>
      </c>
    </row>
    <row r="128" spans="2:2" ht="15" customHeight="1" x14ac:dyDescent="0.25">
      <c r="B128" s="18" t="s">
        <v>1759</v>
      </c>
    </row>
  </sheetData>
  <mergeCells count="1">
    <mergeCell ref="B103:AL10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tint="0.79998168889431442"/>
  </sheetPr>
  <dimension ref="A1:AL77"/>
  <sheetViews>
    <sheetView topLeftCell="B1" workbookViewId="0">
      <selection activeCell="G6" sqref="A1:XFD1048576"/>
    </sheetView>
  </sheetViews>
  <sheetFormatPr defaultRowHeight="15" x14ac:dyDescent="0.25"/>
  <cols>
    <col min="1" max="1" width="20.85546875" hidden="1" customWidth="1"/>
    <col min="2" max="2" width="45.7109375" customWidth="1"/>
    <col min="38" max="38" width="8"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640</v>
      </c>
      <c r="B10" s="8" t="s">
        <v>641</v>
      </c>
    </row>
    <row r="11" spans="1:38" ht="15" customHeight="1" x14ac:dyDescent="0.25">
      <c r="B11" s="4" t="s">
        <v>642</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475</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A15" s="7" t="s">
        <v>643</v>
      </c>
      <c r="B15" s="10" t="s">
        <v>644</v>
      </c>
      <c r="C15" s="14">
        <v>16716.150390999999</v>
      </c>
      <c r="D15" s="14">
        <v>17074.880859000001</v>
      </c>
      <c r="E15" s="14">
        <v>17501.398438</v>
      </c>
      <c r="F15" s="14">
        <v>17928.921875</v>
      </c>
      <c r="G15" s="14">
        <v>18334.908202999999</v>
      </c>
      <c r="H15" s="14">
        <v>18719.169922000001</v>
      </c>
      <c r="I15" s="14">
        <v>19122.580077999999</v>
      </c>
      <c r="J15" s="14">
        <v>19495.443359000001</v>
      </c>
      <c r="K15" s="14">
        <v>19852.296875</v>
      </c>
      <c r="L15" s="14">
        <v>20220.681640999999</v>
      </c>
      <c r="M15" s="14">
        <v>20609.1875</v>
      </c>
      <c r="N15" s="14">
        <v>21038.792968999998</v>
      </c>
      <c r="O15" s="14">
        <v>21493.265625</v>
      </c>
      <c r="P15" s="14">
        <v>21953.880859000001</v>
      </c>
      <c r="Q15" s="14">
        <v>22420.908202999999</v>
      </c>
      <c r="R15" s="14">
        <v>22896.136718999998</v>
      </c>
      <c r="S15" s="14">
        <v>23368.679688</v>
      </c>
      <c r="T15" s="14">
        <v>23833.414062</v>
      </c>
      <c r="U15" s="14">
        <v>24314.869140999999</v>
      </c>
      <c r="V15" s="14">
        <v>24801.535156000002</v>
      </c>
      <c r="W15" s="14">
        <v>25298.800781000002</v>
      </c>
      <c r="X15" s="14">
        <v>25795.578125</v>
      </c>
      <c r="Y15" s="14">
        <v>26290.097656000002</v>
      </c>
      <c r="Z15" s="14">
        <v>26809.546875</v>
      </c>
      <c r="AA15" s="14">
        <v>27355.546875</v>
      </c>
      <c r="AB15" s="14">
        <v>27910.398438</v>
      </c>
      <c r="AC15" s="14">
        <v>28471.345702999999</v>
      </c>
      <c r="AD15" s="14">
        <v>29052.351562</v>
      </c>
      <c r="AE15" s="14">
        <v>29626.009765999999</v>
      </c>
      <c r="AF15" s="14">
        <v>30204.054688</v>
      </c>
      <c r="AG15" s="14">
        <v>30785.289062</v>
      </c>
      <c r="AH15" s="14">
        <v>31403.539062</v>
      </c>
      <c r="AI15" s="14">
        <v>31998.242188</v>
      </c>
      <c r="AJ15" s="14">
        <v>32583.679688</v>
      </c>
      <c r="AK15" s="14">
        <v>33204.808594000002</v>
      </c>
      <c r="AL15" s="15">
        <v>2.0358999999999999E-2</v>
      </c>
    </row>
    <row r="16" spans="1:38" ht="15" customHeight="1" x14ac:dyDescent="0.25">
      <c r="B16" s="10" t="s">
        <v>645</v>
      </c>
    </row>
    <row r="17" spans="1:38" ht="15" customHeight="1" x14ac:dyDescent="0.25">
      <c r="A17" s="7" t="s">
        <v>646</v>
      </c>
      <c r="B17" s="11" t="s">
        <v>647</v>
      </c>
      <c r="C17" s="12">
        <v>11572.124023</v>
      </c>
      <c r="D17" s="12">
        <v>11876.546875</v>
      </c>
      <c r="E17" s="12">
        <v>12215.25</v>
      </c>
      <c r="F17" s="12">
        <v>12539.570312</v>
      </c>
      <c r="G17" s="12">
        <v>12847.490234000001</v>
      </c>
      <c r="H17" s="12">
        <v>13138.459961</v>
      </c>
      <c r="I17" s="12">
        <v>13457.559569999999</v>
      </c>
      <c r="J17" s="12">
        <v>13760.942383</v>
      </c>
      <c r="K17" s="12">
        <v>14058.627930000001</v>
      </c>
      <c r="L17" s="12">
        <v>14363.860352</v>
      </c>
      <c r="M17" s="12">
        <v>14687.724609000001</v>
      </c>
      <c r="N17" s="12">
        <v>15042.422852</v>
      </c>
      <c r="O17" s="12">
        <v>15408.995117</v>
      </c>
      <c r="P17" s="12">
        <v>15768.379883</v>
      </c>
      <c r="Q17" s="12">
        <v>16125.919921999999</v>
      </c>
      <c r="R17" s="12">
        <v>16487.681640999999</v>
      </c>
      <c r="S17" s="12">
        <v>16855.595702999999</v>
      </c>
      <c r="T17" s="12">
        <v>17219.400390999999</v>
      </c>
      <c r="U17" s="12">
        <v>17579.777343999998</v>
      </c>
      <c r="V17" s="12">
        <v>17940.498047000001</v>
      </c>
      <c r="W17" s="12">
        <v>18310.587890999999</v>
      </c>
      <c r="X17" s="12">
        <v>18687.072265999999</v>
      </c>
      <c r="Y17" s="12">
        <v>19071.330077999999</v>
      </c>
      <c r="Z17" s="12">
        <v>19471.113281000002</v>
      </c>
      <c r="AA17" s="12">
        <v>19871.482422000001</v>
      </c>
      <c r="AB17" s="12">
        <v>20292.886718999998</v>
      </c>
      <c r="AC17" s="12">
        <v>20724.074218999998</v>
      </c>
      <c r="AD17" s="12">
        <v>21163.529297000001</v>
      </c>
      <c r="AE17" s="12">
        <v>21591.726562</v>
      </c>
      <c r="AF17" s="12">
        <v>22019.984375</v>
      </c>
      <c r="AG17" s="12">
        <v>22454.130859000001</v>
      </c>
      <c r="AH17" s="12">
        <v>22928.511718999998</v>
      </c>
      <c r="AI17" s="12">
        <v>23397.857422000001</v>
      </c>
      <c r="AJ17" s="12">
        <v>23863.574218999998</v>
      </c>
      <c r="AK17" s="12">
        <v>24337.707031000002</v>
      </c>
      <c r="AL17" s="13">
        <v>2.1978999999999999E-2</v>
      </c>
    </row>
    <row r="18" spans="1:38" ht="15" customHeight="1" x14ac:dyDescent="0.25">
      <c r="A18" s="7" t="s">
        <v>648</v>
      </c>
      <c r="B18" s="11" t="s">
        <v>1955</v>
      </c>
      <c r="C18" s="12">
        <v>2210.4250489999999</v>
      </c>
      <c r="D18" s="12">
        <v>2306.2062989999999</v>
      </c>
      <c r="E18" s="12">
        <v>2387.8247070000002</v>
      </c>
      <c r="F18" s="12">
        <v>2478.3303219999998</v>
      </c>
      <c r="G18" s="12">
        <v>2589.7299800000001</v>
      </c>
      <c r="H18" s="12">
        <v>2684.3159179999998</v>
      </c>
      <c r="I18" s="12">
        <v>2762.22876</v>
      </c>
      <c r="J18" s="12">
        <v>2835.7536620000001</v>
      </c>
      <c r="K18" s="12">
        <v>2903.02124</v>
      </c>
      <c r="L18" s="12">
        <v>2980.6120609999998</v>
      </c>
      <c r="M18" s="12">
        <v>3059.3295899999998</v>
      </c>
      <c r="N18" s="12">
        <v>3153.405029</v>
      </c>
      <c r="O18" s="12">
        <v>3250.633057</v>
      </c>
      <c r="P18" s="12">
        <v>3341.639893</v>
      </c>
      <c r="Q18" s="12">
        <v>3425.3186040000001</v>
      </c>
      <c r="R18" s="12">
        <v>3516.900635</v>
      </c>
      <c r="S18" s="12">
        <v>3611.8103030000002</v>
      </c>
      <c r="T18" s="12">
        <v>3707.4802249999998</v>
      </c>
      <c r="U18" s="12">
        <v>3807.6791990000002</v>
      </c>
      <c r="V18" s="12">
        <v>3912.8991700000001</v>
      </c>
      <c r="W18" s="12">
        <v>4022.9201659999999</v>
      </c>
      <c r="X18" s="12">
        <v>4134.6225590000004</v>
      </c>
      <c r="Y18" s="12">
        <v>4242.4541019999997</v>
      </c>
      <c r="Z18" s="12">
        <v>4357.623047</v>
      </c>
      <c r="AA18" s="12">
        <v>4487.158203</v>
      </c>
      <c r="AB18" s="12">
        <v>4622.1757809999999</v>
      </c>
      <c r="AC18" s="12">
        <v>4754.0483400000003</v>
      </c>
      <c r="AD18" s="12">
        <v>4894.2041019999997</v>
      </c>
      <c r="AE18" s="12">
        <v>5032.3930659999996</v>
      </c>
      <c r="AF18" s="12">
        <v>5172.8935549999997</v>
      </c>
      <c r="AG18" s="12">
        <v>5312.6928710000002</v>
      </c>
      <c r="AH18" s="12">
        <v>5465.7680659999996</v>
      </c>
      <c r="AI18" s="12">
        <v>5619.2197269999997</v>
      </c>
      <c r="AJ18" s="12">
        <v>5756.341797</v>
      </c>
      <c r="AK18" s="12">
        <v>5905.4780270000001</v>
      </c>
      <c r="AL18" s="13">
        <v>2.8903000000000002E-2</v>
      </c>
    </row>
    <row r="19" spans="1:38" ht="15" customHeight="1" x14ac:dyDescent="0.25">
      <c r="A19" s="7" t="s">
        <v>649</v>
      </c>
      <c r="B19" s="11" t="s">
        <v>650</v>
      </c>
      <c r="C19" s="12">
        <v>2900.1499020000001</v>
      </c>
      <c r="D19" s="12">
        <v>2904.617432</v>
      </c>
      <c r="E19" s="12">
        <v>2916.9284670000002</v>
      </c>
      <c r="F19" s="12">
        <v>2928.6743160000001</v>
      </c>
      <c r="G19" s="12">
        <v>2939.7751459999999</v>
      </c>
      <c r="H19" s="12">
        <v>2949.3254390000002</v>
      </c>
      <c r="I19" s="12">
        <v>2960.4790039999998</v>
      </c>
      <c r="J19" s="12">
        <v>2976.8740229999999</v>
      </c>
      <c r="K19" s="12">
        <v>2996.7570799999999</v>
      </c>
      <c r="L19" s="12">
        <v>3016.0805660000001</v>
      </c>
      <c r="M19" s="12">
        <v>3035.5654300000001</v>
      </c>
      <c r="N19" s="12">
        <v>3056.3217770000001</v>
      </c>
      <c r="O19" s="12">
        <v>3088.9692380000001</v>
      </c>
      <c r="P19" s="12">
        <v>3130.8610840000001</v>
      </c>
      <c r="Q19" s="12">
        <v>3175.898682</v>
      </c>
      <c r="R19" s="12">
        <v>3213.0646969999998</v>
      </c>
      <c r="S19" s="12">
        <v>3251.8171390000002</v>
      </c>
      <c r="T19" s="12">
        <v>3290.6379390000002</v>
      </c>
      <c r="U19" s="12">
        <v>3330.5048830000001</v>
      </c>
      <c r="V19" s="12">
        <v>3369.6108399999998</v>
      </c>
      <c r="W19" s="12">
        <v>3409.4411620000001</v>
      </c>
      <c r="X19" s="12">
        <v>3450.3422850000002</v>
      </c>
      <c r="Y19" s="12">
        <v>3489.232422</v>
      </c>
      <c r="Z19" s="12">
        <v>3527.3964839999999</v>
      </c>
      <c r="AA19" s="12">
        <v>3572.976807</v>
      </c>
      <c r="AB19" s="12">
        <v>3611.6267090000001</v>
      </c>
      <c r="AC19" s="12">
        <v>3656.4731449999999</v>
      </c>
      <c r="AD19" s="12">
        <v>3701.5776369999999</v>
      </c>
      <c r="AE19" s="12">
        <v>3746.5473630000001</v>
      </c>
      <c r="AF19" s="12">
        <v>3791.6450199999999</v>
      </c>
      <c r="AG19" s="12">
        <v>3834.5771479999999</v>
      </c>
      <c r="AH19" s="12">
        <v>3877.189453</v>
      </c>
      <c r="AI19" s="12">
        <v>3920.178711</v>
      </c>
      <c r="AJ19" s="12">
        <v>3960.9501949999999</v>
      </c>
      <c r="AK19" s="12">
        <v>4004.2709960000002</v>
      </c>
      <c r="AL19" s="13">
        <v>9.7769999999999992E-3</v>
      </c>
    </row>
    <row r="20" spans="1:38" ht="15" customHeight="1" x14ac:dyDescent="0.25">
      <c r="A20" s="7" t="s">
        <v>651</v>
      </c>
      <c r="B20" s="11" t="s">
        <v>652</v>
      </c>
      <c r="C20" s="12">
        <v>2120.0590820000002</v>
      </c>
      <c r="D20" s="12">
        <v>2200.1845699999999</v>
      </c>
      <c r="E20" s="12">
        <v>2259.1765140000002</v>
      </c>
      <c r="F20" s="12">
        <v>2341.4965820000002</v>
      </c>
      <c r="G20" s="12">
        <v>2450.4736330000001</v>
      </c>
      <c r="H20" s="12">
        <v>2541.8957519999999</v>
      </c>
      <c r="I20" s="12">
        <v>2634.6616210000002</v>
      </c>
      <c r="J20" s="12">
        <v>2729.9885250000002</v>
      </c>
      <c r="K20" s="12">
        <v>2825.27124</v>
      </c>
      <c r="L20" s="12">
        <v>2919.6154790000001</v>
      </c>
      <c r="M20" s="12">
        <v>3016.7749020000001</v>
      </c>
      <c r="N20" s="12">
        <v>3131.3552249999998</v>
      </c>
      <c r="O20" s="12">
        <v>3265.3278810000002</v>
      </c>
      <c r="P20" s="12">
        <v>3399.8129880000001</v>
      </c>
      <c r="Q20" s="12">
        <v>3532.0139159999999</v>
      </c>
      <c r="R20" s="12">
        <v>3666.0971679999998</v>
      </c>
      <c r="S20" s="12">
        <v>3813.022461</v>
      </c>
      <c r="T20" s="12">
        <v>3948.741943</v>
      </c>
      <c r="U20" s="12">
        <v>4080.9316410000001</v>
      </c>
      <c r="V20" s="12">
        <v>4224.3964839999999</v>
      </c>
      <c r="W20" s="12">
        <v>4381.1391599999997</v>
      </c>
      <c r="X20" s="12">
        <v>4523.1704099999997</v>
      </c>
      <c r="Y20" s="12">
        <v>4679.7651370000003</v>
      </c>
      <c r="Z20" s="12">
        <v>4848.6088870000003</v>
      </c>
      <c r="AA20" s="12">
        <v>5019.3964839999999</v>
      </c>
      <c r="AB20" s="12">
        <v>5192.0791019999997</v>
      </c>
      <c r="AC20" s="12">
        <v>5367.4057620000003</v>
      </c>
      <c r="AD20" s="12">
        <v>5549.6811520000001</v>
      </c>
      <c r="AE20" s="12">
        <v>5725.3164059999999</v>
      </c>
      <c r="AF20" s="12">
        <v>5905.1289059999999</v>
      </c>
      <c r="AG20" s="12">
        <v>6089.7246089999999</v>
      </c>
      <c r="AH20" s="12">
        <v>6270.4677730000003</v>
      </c>
      <c r="AI20" s="12">
        <v>6445.6572269999997</v>
      </c>
      <c r="AJ20" s="12">
        <v>6624.5698240000002</v>
      </c>
      <c r="AK20" s="12">
        <v>6818.7075199999999</v>
      </c>
      <c r="AL20" s="13">
        <v>3.4870999999999999E-2</v>
      </c>
    </row>
    <row r="21" spans="1:38" ht="15" customHeight="1" x14ac:dyDescent="0.25">
      <c r="A21" s="7" t="s">
        <v>653</v>
      </c>
      <c r="B21" s="11" t="s">
        <v>654</v>
      </c>
      <c r="C21" s="12">
        <v>2706.3090820000002</v>
      </c>
      <c r="D21" s="12">
        <v>2810.1779790000001</v>
      </c>
      <c r="E21" s="12">
        <v>2929.7521969999998</v>
      </c>
      <c r="F21" s="12">
        <v>3060.648193</v>
      </c>
      <c r="G21" s="12">
        <v>3213.9052729999999</v>
      </c>
      <c r="H21" s="12">
        <v>3315.4179690000001</v>
      </c>
      <c r="I21" s="12">
        <v>3428.4562989999999</v>
      </c>
      <c r="J21" s="12">
        <v>3566.9174800000001</v>
      </c>
      <c r="K21" s="12">
        <v>3692.9814449999999</v>
      </c>
      <c r="L21" s="12">
        <v>3830.491943</v>
      </c>
      <c r="M21" s="12">
        <v>3967.3115229999999</v>
      </c>
      <c r="N21" s="12">
        <v>4137.1845700000003</v>
      </c>
      <c r="O21" s="12">
        <v>4312.7543949999999</v>
      </c>
      <c r="P21" s="12">
        <v>4483.28125</v>
      </c>
      <c r="Q21" s="12">
        <v>4655.9213870000003</v>
      </c>
      <c r="R21" s="12">
        <v>4822.3344729999999</v>
      </c>
      <c r="S21" s="12">
        <v>5005.9497069999998</v>
      </c>
      <c r="T21" s="12">
        <v>5180.7241210000002</v>
      </c>
      <c r="U21" s="12">
        <v>5357.8232420000004</v>
      </c>
      <c r="V21" s="12">
        <v>5549.5</v>
      </c>
      <c r="W21" s="12">
        <v>5751.4130859999996</v>
      </c>
      <c r="X21" s="12">
        <v>5925.8325199999999</v>
      </c>
      <c r="Y21" s="12">
        <v>6130.8891599999997</v>
      </c>
      <c r="Z21" s="12">
        <v>6340.6201170000004</v>
      </c>
      <c r="AA21" s="12">
        <v>6551.7231449999999</v>
      </c>
      <c r="AB21" s="12">
        <v>6781.6303710000002</v>
      </c>
      <c r="AC21" s="12">
        <v>7016.5932620000003</v>
      </c>
      <c r="AD21" s="12">
        <v>7265.0224609999996</v>
      </c>
      <c r="AE21" s="12">
        <v>7500.0981449999999</v>
      </c>
      <c r="AF21" s="12">
        <v>7745.1918949999999</v>
      </c>
      <c r="AG21" s="12">
        <v>7987.3344729999999</v>
      </c>
      <c r="AH21" s="12">
        <v>8243.3896480000003</v>
      </c>
      <c r="AI21" s="12">
        <v>8499.9951170000004</v>
      </c>
      <c r="AJ21" s="12">
        <v>8734.6289059999999</v>
      </c>
      <c r="AK21" s="12">
        <v>8989.53125</v>
      </c>
      <c r="AL21" s="13">
        <v>3.5865000000000001E-2</v>
      </c>
    </row>
    <row r="23" spans="1:38" ht="15" customHeight="1" x14ac:dyDescent="0.25">
      <c r="B23" s="10" t="s">
        <v>655</v>
      </c>
    </row>
    <row r="24" spans="1:38" ht="15" customHeight="1" x14ac:dyDescent="0.25">
      <c r="B24" s="10" t="s">
        <v>656</v>
      </c>
    </row>
    <row r="25" spans="1:38" ht="15" customHeight="1" x14ac:dyDescent="0.25">
      <c r="A25" s="7" t="s">
        <v>657</v>
      </c>
      <c r="B25" s="11" t="s">
        <v>658</v>
      </c>
      <c r="C25" s="16">
        <v>4.2849370000000002</v>
      </c>
      <c r="D25" s="16">
        <v>4.2228579999999996</v>
      </c>
      <c r="E25" s="16">
        <v>4.2355669999999996</v>
      </c>
      <c r="F25" s="16">
        <v>4.1684900000000003</v>
      </c>
      <c r="G25" s="16">
        <v>4.0927759999999997</v>
      </c>
      <c r="H25" s="16">
        <v>4.0144130000000002</v>
      </c>
      <c r="I25" s="16">
        <v>3.9291640000000001</v>
      </c>
      <c r="J25" s="16">
        <v>3.8550059999999999</v>
      </c>
      <c r="K25" s="16">
        <v>3.7836569999999998</v>
      </c>
      <c r="L25" s="16">
        <v>3.7057829999999998</v>
      </c>
      <c r="M25" s="16">
        <v>3.6296599999999999</v>
      </c>
      <c r="N25" s="16">
        <v>3.5587520000000001</v>
      </c>
      <c r="O25" s="16">
        <v>3.4905119999999998</v>
      </c>
      <c r="P25" s="16">
        <v>3.420668</v>
      </c>
      <c r="Q25" s="16">
        <v>3.3532980000000001</v>
      </c>
      <c r="R25" s="16">
        <v>3.2903180000000001</v>
      </c>
      <c r="S25" s="16">
        <v>3.2283559999999998</v>
      </c>
      <c r="T25" s="16">
        <v>3.1713870000000002</v>
      </c>
      <c r="U25" s="16">
        <v>3.1159919999999999</v>
      </c>
      <c r="V25" s="16">
        <v>3.0635880000000002</v>
      </c>
      <c r="W25" s="16">
        <v>3.013198</v>
      </c>
      <c r="X25" s="16">
        <v>2.9680170000000001</v>
      </c>
      <c r="Y25" s="16">
        <v>2.927235</v>
      </c>
      <c r="Z25" s="16">
        <v>2.8825530000000001</v>
      </c>
      <c r="AA25" s="16">
        <v>2.8374510000000002</v>
      </c>
      <c r="AB25" s="16">
        <v>2.794441</v>
      </c>
      <c r="AC25" s="16">
        <v>2.7511209999999999</v>
      </c>
      <c r="AD25" s="16">
        <v>2.709479</v>
      </c>
      <c r="AE25" s="16">
        <v>2.6704759999999998</v>
      </c>
      <c r="AF25" s="16">
        <v>2.6332170000000001</v>
      </c>
      <c r="AG25" s="16">
        <v>2.597175</v>
      </c>
      <c r="AH25" s="16">
        <v>2.5612249999999999</v>
      </c>
      <c r="AI25" s="16">
        <v>2.5290889999999999</v>
      </c>
      <c r="AJ25" s="16">
        <v>2.4981990000000001</v>
      </c>
      <c r="AK25" s="16">
        <v>2.46671</v>
      </c>
      <c r="AL25" s="13">
        <v>-1.6160000000000001E-2</v>
      </c>
    </row>
    <row r="26" spans="1:38" ht="15" customHeight="1" x14ac:dyDescent="0.25">
      <c r="A26" s="7" t="s">
        <v>659</v>
      </c>
      <c r="B26" s="11" t="s">
        <v>660</v>
      </c>
      <c r="C26" s="16">
        <v>5.7972960000000002</v>
      </c>
      <c r="D26" s="16">
        <v>5.6693910000000001</v>
      </c>
      <c r="E26" s="16">
        <v>5.6568909999999999</v>
      </c>
      <c r="F26" s="16">
        <v>5.5729240000000004</v>
      </c>
      <c r="G26" s="16">
        <v>5.4680530000000003</v>
      </c>
      <c r="H26" s="16">
        <v>5.3547440000000002</v>
      </c>
      <c r="I26" s="16">
        <v>5.2377830000000003</v>
      </c>
      <c r="J26" s="16">
        <v>5.1358189999999997</v>
      </c>
      <c r="K26" s="16">
        <v>5.0489709999999999</v>
      </c>
      <c r="L26" s="16">
        <v>4.9505290000000004</v>
      </c>
      <c r="M26" s="16">
        <v>4.8547560000000001</v>
      </c>
      <c r="N26" s="16">
        <v>4.7626350000000004</v>
      </c>
      <c r="O26" s="16">
        <v>4.6726260000000002</v>
      </c>
      <c r="P26" s="16">
        <v>4.582471</v>
      </c>
      <c r="Q26" s="16">
        <v>4.4912450000000002</v>
      </c>
      <c r="R26" s="16">
        <v>4.4040379999999999</v>
      </c>
      <c r="S26" s="16">
        <v>4.3211250000000003</v>
      </c>
      <c r="T26" s="16">
        <v>4.2461599999999997</v>
      </c>
      <c r="U26" s="16">
        <v>4.1725409999999998</v>
      </c>
      <c r="V26" s="16">
        <v>4.1046639999999996</v>
      </c>
      <c r="W26" s="16">
        <v>4.0377099999999997</v>
      </c>
      <c r="X26" s="16">
        <v>3.9772479999999999</v>
      </c>
      <c r="Y26" s="16">
        <v>3.9218899999999999</v>
      </c>
      <c r="Z26" s="16">
        <v>3.8623980000000002</v>
      </c>
      <c r="AA26" s="16">
        <v>3.80098</v>
      </c>
      <c r="AB26" s="16">
        <v>3.7411469999999998</v>
      </c>
      <c r="AC26" s="16">
        <v>3.6807539999999999</v>
      </c>
      <c r="AD26" s="16">
        <v>3.6231580000000001</v>
      </c>
      <c r="AE26" s="16">
        <v>3.5692249999999999</v>
      </c>
      <c r="AF26" s="16">
        <v>3.5167579999999998</v>
      </c>
      <c r="AG26" s="16">
        <v>3.4668899999999998</v>
      </c>
      <c r="AH26" s="16">
        <v>3.417084</v>
      </c>
      <c r="AI26" s="16">
        <v>3.371956</v>
      </c>
      <c r="AJ26" s="16">
        <v>3.3291400000000002</v>
      </c>
      <c r="AK26" s="16">
        <v>3.2834629999999998</v>
      </c>
      <c r="AL26" s="13">
        <v>-1.6414999999999999E-2</v>
      </c>
    </row>
    <row r="28" spans="1:38" ht="15" customHeight="1" x14ac:dyDescent="0.25">
      <c r="B28" s="10" t="s">
        <v>661</v>
      </c>
    </row>
    <row r="29" spans="1:38" ht="15" customHeight="1" x14ac:dyDescent="0.25">
      <c r="A29" s="7" t="s">
        <v>662</v>
      </c>
      <c r="B29" s="11" t="s">
        <v>663</v>
      </c>
      <c r="C29" s="96">
        <v>1.114193</v>
      </c>
      <c r="D29" s="96">
        <v>1.133791</v>
      </c>
      <c r="E29" s="96">
        <v>1.1590290000000001</v>
      </c>
      <c r="F29" s="96">
        <v>1.1860930000000001</v>
      </c>
      <c r="G29" s="96">
        <v>1.217112</v>
      </c>
      <c r="H29" s="96">
        <v>1.2471989999999999</v>
      </c>
      <c r="I29" s="96">
        <v>1.2772810000000001</v>
      </c>
      <c r="J29" s="96">
        <v>1.308818</v>
      </c>
      <c r="K29" s="96">
        <v>1.3405899999999999</v>
      </c>
      <c r="L29" s="96">
        <v>1.372598</v>
      </c>
      <c r="M29" s="96">
        <v>1.4040680000000001</v>
      </c>
      <c r="N29" s="96">
        <v>1.435675</v>
      </c>
      <c r="O29" s="96">
        <v>1.46665</v>
      </c>
      <c r="P29" s="96">
        <v>1.4979420000000001</v>
      </c>
      <c r="Q29" s="96">
        <v>1.530103</v>
      </c>
      <c r="R29" s="96">
        <v>1.5635140000000001</v>
      </c>
      <c r="S29" s="96">
        <v>1.5978730000000001</v>
      </c>
      <c r="T29" s="96">
        <v>1.6333850000000001</v>
      </c>
      <c r="U29" s="96">
        <v>1.6700079999999999</v>
      </c>
      <c r="V29" s="96">
        <v>1.7078169999999999</v>
      </c>
      <c r="W29" s="96">
        <v>1.7469250000000001</v>
      </c>
      <c r="X29" s="96">
        <v>1.786964</v>
      </c>
      <c r="Y29" s="96">
        <v>1.8277559999999999</v>
      </c>
      <c r="Z29" s="96">
        <v>1.8697349999999999</v>
      </c>
      <c r="AA29" s="96">
        <v>1.9130199999999999</v>
      </c>
      <c r="AB29" s="96">
        <v>1.9577960000000001</v>
      </c>
      <c r="AC29" s="96">
        <v>2.0040309999999999</v>
      </c>
      <c r="AD29" s="96">
        <v>2.052076</v>
      </c>
      <c r="AE29" s="96">
        <v>2.1017779999999999</v>
      </c>
      <c r="AF29" s="96">
        <v>2.1532819999999999</v>
      </c>
      <c r="AG29" s="96">
        <v>2.206108</v>
      </c>
      <c r="AH29" s="96">
        <v>2.2608440000000001</v>
      </c>
      <c r="AI29" s="96">
        <v>2.3178000000000001</v>
      </c>
      <c r="AJ29" s="96">
        <v>2.3762029999999998</v>
      </c>
      <c r="AK29" s="96">
        <v>2.4367359999999998</v>
      </c>
      <c r="AL29" s="13">
        <v>2.3456000000000001E-2</v>
      </c>
    </row>
    <row r="30" spans="1:38" ht="15" customHeight="1" x14ac:dyDescent="0.25">
      <c r="B30" s="10" t="s">
        <v>664</v>
      </c>
    </row>
    <row r="31" spans="1:38" ht="15" customHeight="1" x14ac:dyDescent="0.25">
      <c r="A31" s="7" t="s">
        <v>665</v>
      </c>
      <c r="B31" s="11" t="s">
        <v>666</v>
      </c>
      <c r="C31" s="16">
        <v>2.400093</v>
      </c>
      <c r="D31" s="16">
        <v>2.447076</v>
      </c>
      <c r="E31" s="16">
        <v>2.4932889999999999</v>
      </c>
      <c r="F31" s="16">
        <v>2.5518529999999999</v>
      </c>
      <c r="G31" s="16">
        <v>2.6342140000000001</v>
      </c>
      <c r="H31" s="16">
        <v>2.7108859999999999</v>
      </c>
      <c r="I31" s="16">
        <v>2.7837730000000001</v>
      </c>
      <c r="J31" s="16">
        <v>2.8619400000000002</v>
      </c>
      <c r="K31" s="16">
        <v>2.941646</v>
      </c>
      <c r="L31" s="16">
        <v>3.021455</v>
      </c>
      <c r="M31" s="16">
        <v>3.100587</v>
      </c>
      <c r="N31" s="16">
        <v>3.1814249999999999</v>
      </c>
      <c r="O31" s="16">
        <v>3.262429</v>
      </c>
      <c r="P31" s="16">
        <v>3.3450099999999998</v>
      </c>
      <c r="Q31" s="16">
        <v>3.428877</v>
      </c>
      <c r="R31" s="16">
        <v>3.5167169999999999</v>
      </c>
      <c r="S31" s="16">
        <v>3.6062509999999999</v>
      </c>
      <c r="T31" s="16">
        <v>3.6986750000000002</v>
      </c>
      <c r="U31" s="16">
        <v>3.7939919999999998</v>
      </c>
      <c r="V31" s="16">
        <v>3.8917060000000001</v>
      </c>
      <c r="W31" s="16">
        <v>3.9925649999999999</v>
      </c>
      <c r="X31" s="16">
        <v>4.0981529999999999</v>
      </c>
      <c r="Y31" s="16">
        <v>4.2048620000000003</v>
      </c>
      <c r="Z31" s="16">
        <v>4.3151089999999996</v>
      </c>
      <c r="AA31" s="16">
        <v>4.4282529999999998</v>
      </c>
      <c r="AB31" s="16">
        <v>4.5454489999999996</v>
      </c>
      <c r="AC31" s="16">
        <v>4.6660490000000001</v>
      </c>
      <c r="AD31" s="16">
        <v>4.7909899999999999</v>
      </c>
      <c r="AE31" s="16">
        <v>4.9196980000000003</v>
      </c>
      <c r="AF31" s="16">
        <v>5.0536310000000002</v>
      </c>
      <c r="AG31" s="16">
        <v>5.1896000000000004</v>
      </c>
      <c r="AH31" s="16">
        <v>5.3325129999999996</v>
      </c>
      <c r="AI31" s="16">
        <v>5.4816380000000002</v>
      </c>
      <c r="AJ31" s="16">
        <v>5.6333270000000004</v>
      </c>
      <c r="AK31" s="16">
        <v>5.7902709999999997</v>
      </c>
      <c r="AL31" s="13">
        <v>2.6443000000000001E-2</v>
      </c>
    </row>
    <row r="32" spans="1:38" ht="15" customHeight="1" x14ac:dyDescent="0.25">
      <c r="A32" s="7" t="s">
        <v>667</v>
      </c>
      <c r="B32" s="11" t="s">
        <v>668</v>
      </c>
      <c r="C32" s="16">
        <v>1.8954040000000001</v>
      </c>
      <c r="D32" s="16">
        <v>1.9919690000000001</v>
      </c>
      <c r="E32" s="16">
        <v>2.0245989999999998</v>
      </c>
      <c r="F32" s="16">
        <v>2.127243</v>
      </c>
      <c r="G32" s="16">
        <v>2.3610280000000001</v>
      </c>
      <c r="H32" s="16">
        <v>2.5002469999999999</v>
      </c>
      <c r="I32" s="16">
        <v>2.5980539999999999</v>
      </c>
      <c r="J32" s="16">
        <v>2.7105350000000001</v>
      </c>
      <c r="K32" s="16">
        <v>2.8158069999999999</v>
      </c>
      <c r="L32" s="16">
        <v>2.9025590000000001</v>
      </c>
      <c r="M32" s="16">
        <v>2.9743019999999998</v>
      </c>
      <c r="N32" s="16">
        <v>3.0586289999999998</v>
      </c>
      <c r="O32" s="16">
        <v>3.143081</v>
      </c>
      <c r="P32" s="16">
        <v>3.2360709999999999</v>
      </c>
      <c r="Q32" s="16">
        <v>3.3237399999999999</v>
      </c>
      <c r="R32" s="16">
        <v>3.4229150000000002</v>
      </c>
      <c r="S32" s="16">
        <v>3.50963</v>
      </c>
      <c r="T32" s="16">
        <v>3.6021830000000001</v>
      </c>
      <c r="U32" s="16">
        <v>3.6990539999999998</v>
      </c>
      <c r="V32" s="16">
        <v>3.7936800000000002</v>
      </c>
      <c r="W32" s="16">
        <v>3.8916949999999999</v>
      </c>
      <c r="X32" s="16">
        <v>4.0139620000000003</v>
      </c>
      <c r="Y32" s="16">
        <v>4.1218019999999997</v>
      </c>
      <c r="Z32" s="16">
        <v>4.2370520000000003</v>
      </c>
      <c r="AA32" s="16">
        <v>4.3489750000000003</v>
      </c>
      <c r="AB32" s="16">
        <v>4.4671060000000002</v>
      </c>
      <c r="AC32" s="16">
        <v>4.5822830000000003</v>
      </c>
      <c r="AD32" s="16">
        <v>4.701797</v>
      </c>
      <c r="AE32" s="16">
        <v>4.8177760000000003</v>
      </c>
      <c r="AF32" s="16">
        <v>4.9467080000000001</v>
      </c>
      <c r="AG32" s="16">
        <v>5.05741</v>
      </c>
      <c r="AH32" s="16">
        <v>5.2007469999999998</v>
      </c>
      <c r="AI32" s="16">
        <v>5.3555520000000003</v>
      </c>
      <c r="AJ32" s="16">
        <v>5.4953580000000004</v>
      </c>
      <c r="AK32" s="16">
        <v>5.6387349999999996</v>
      </c>
      <c r="AL32" s="13">
        <v>3.2034E-2</v>
      </c>
    </row>
    <row r="33" spans="1:38" ht="15" customHeight="1" x14ac:dyDescent="0.25">
      <c r="B33" s="10" t="s">
        <v>669</v>
      </c>
    </row>
    <row r="34" spans="1:38" ht="15" customHeight="1" x14ac:dyDescent="0.25">
      <c r="A34" s="7" t="s">
        <v>670</v>
      </c>
      <c r="B34" s="11" t="s">
        <v>671</v>
      </c>
      <c r="C34" s="16">
        <v>1.8536509999999999</v>
      </c>
      <c r="D34" s="16">
        <v>1.9268810000000001</v>
      </c>
      <c r="E34" s="16">
        <v>1.9572499999999999</v>
      </c>
      <c r="F34" s="16">
        <v>2.0030160000000001</v>
      </c>
      <c r="G34" s="16">
        <v>2.0833020000000002</v>
      </c>
      <c r="H34" s="16">
        <v>2.1352660000000001</v>
      </c>
      <c r="I34" s="16">
        <v>2.1810559999999999</v>
      </c>
      <c r="J34" s="16">
        <v>2.2314219999999998</v>
      </c>
      <c r="K34" s="16">
        <v>2.2796859999999999</v>
      </c>
      <c r="L34" s="16">
        <v>2.327655</v>
      </c>
      <c r="M34" s="16">
        <v>2.370657</v>
      </c>
      <c r="N34" s="16">
        <v>2.4159839999999999</v>
      </c>
      <c r="O34" s="16">
        <v>2.4569709999999998</v>
      </c>
      <c r="P34" s="16">
        <v>2.4975700000000001</v>
      </c>
      <c r="Q34" s="16">
        <v>2.5364429999999998</v>
      </c>
      <c r="R34" s="16">
        <v>2.5767319999999998</v>
      </c>
      <c r="S34" s="16">
        <v>2.6164019999999999</v>
      </c>
      <c r="T34" s="16">
        <v>2.6569910000000001</v>
      </c>
      <c r="U34" s="16">
        <v>2.697479</v>
      </c>
      <c r="V34" s="16">
        <v>2.7399789999999999</v>
      </c>
      <c r="W34" s="16">
        <v>2.7848320000000002</v>
      </c>
      <c r="X34" s="16">
        <v>2.8304109999999998</v>
      </c>
      <c r="Y34" s="16">
        <v>2.876163</v>
      </c>
      <c r="Z34" s="16">
        <v>2.9227829999999999</v>
      </c>
      <c r="AA34" s="16">
        <v>2.9689679999999998</v>
      </c>
      <c r="AB34" s="16">
        <v>3.0177239999999999</v>
      </c>
      <c r="AC34" s="16">
        <v>3.0654590000000002</v>
      </c>
      <c r="AD34" s="16">
        <v>3.1155119999999998</v>
      </c>
      <c r="AE34" s="16">
        <v>3.1658210000000002</v>
      </c>
      <c r="AF34" s="16">
        <v>3.2177090000000002</v>
      </c>
      <c r="AG34" s="16">
        <v>3.2669920000000001</v>
      </c>
      <c r="AH34" s="16">
        <v>3.3219180000000001</v>
      </c>
      <c r="AI34" s="16">
        <v>3.3815599999999999</v>
      </c>
      <c r="AJ34" s="16">
        <v>3.4380320000000002</v>
      </c>
      <c r="AK34" s="16">
        <v>3.4965280000000001</v>
      </c>
      <c r="AL34" s="13">
        <v>1.8221000000000001E-2</v>
      </c>
    </row>
    <row r="35" spans="1:38" ht="15" customHeight="1" x14ac:dyDescent="0.25">
      <c r="A35" s="7" t="s">
        <v>672</v>
      </c>
      <c r="B35" s="11" t="s">
        <v>673</v>
      </c>
      <c r="C35" s="16">
        <v>1.4588859999999999</v>
      </c>
      <c r="D35" s="16">
        <v>1.594101</v>
      </c>
      <c r="E35" s="16">
        <v>1.6257919999999999</v>
      </c>
      <c r="F35" s="16">
        <v>1.7106140000000001</v>
      </c>
      <c r="G35" s="16">
        <v>1.908852</v>
      </c>
      <c r="H35" s="16">
        <v>2.0049649999999999</v>
      </c>
      <c r="I35" s="16">
        <v>2.0810659999999999</v>
      </c>
      <c r="J35" s="16">
        <v>2.1666400000000001</v>
      </c>
      <c r="K35" s="16">
        <v>2.2489710000000001</v>
      </c>
      <c r="L35" s="16">
        <v>2.32944</v>
      </c>
      <c r="M35" s="16">
        <v>2.3895279999999999</v>
      </c>
      <c r="N35" s="16">
        <v>2.4553120000000002</v>
      </c>
      <c r="O35" s="16">
        <v>2.519441</v>
      </c>
      <c r="P35" s="16">
        <v>2.5959439999999998</v>
      </c>
      <c r="Q35" s="16">
        <v>2.6652879999999999</v>
      </c>
      <c r="R35" s="16">
        <v>2.7390279999999998</v>
      </c>
      <c r="S35" s="16">
        <v>2.8088709999999999</v>
      </c>
      <c r="T35" s="16">
        <v>2.8827569999999998</v>
      </c>
      <c r="U35" s="16">
        <v>2.956569</v>
      </c>
      <c r="V35" s="16">
        <v>3.0362840000000002</v>
      </c>
      <c r="W35" s="16">
        <v>3.1247940000000001</v>
      </c>
      <c r="X35" s="16">
        <v>3.2203430000000002</v>
      </c>
      <c r="Y35" s="16">
        <v>3.3134450000000002</v>
      </c>
      <c r="Z35" s="16">
        <v>3.40815</v>
      </c>
      <c r="AA35" s="16">
        <v>3.4985270000000002</v>
      </c>
      <c r="AB35" s="16">
        <v>3.5962649999999998</v>
      </c>
      <c r="AC35" s="16">
        <v>3.690788</v>
      </c>
      <c r="AD35" s="16">
        <v>3.7918810000000001</v>
      </c>
      <c r="AE35" s="16">
        <v>3.8951639999999998</v>
      </c>
      <c r="AF35" s="16">
        <v>4.003647</v>
      </c>
      <c r="AG35" s="16">
        <v>4.1007530000000001</v>
      </c>
      <c r="AH35" s="16">
        <v>4.219195</v>
      </c>
      <c r="AI35" s="16">
        <v>4.3552330000000001</v>
      </c>
      <c r="AJ35" s="16">
        <v>4.4801679999999999</v>
      </c>
      <c r="AK35" s="16">
        <v>4.6097890000000001</v>
      </c>
      <c r="AL35" s="13">
        <v>3.2701000000000001E-2</v>
      </c>
    </row>
    <row r="36" spans="1:38" ht="15" customHeight="1" x14ac:dyDescent="0.25">
      <c r="A36" s="7" t="s">
        <v>674</v>
      </c>
      <c r="B36" s="11" t="s">
        <v>675</v>
      </c>
      <c r="C36" s="16">
        <v>1.94333</v>
      </c>
      <c r="D36" s="16">
        <v>2.0702069999999999</v>
      </c>
      <c r="E36" s="16">
        <v>2.0933139999999999</v>
      </c>
      <c r="F36" s="16">
        <v>2.1399149999999998</v>
      </c>
      <c r="G36" s="16">
        <v>2.1931539999999998</v>
      </c>
      <c r="H36" s="16">
        <v>2.2126290000000002</v>
      </c>
      <c r="I36" s="16">
        <v>2.2321249999999999</v>
      </c>
      <c r="J36" s="16">
        <v>2.2561110000000002</v>
      </c>
      <c r="K36" s="16">
        <v>2.2745950000000001</v>
      </c>
      <c r="L36" s="16">
        <v>2.2953960000000002</v>
      </c>
      <c r="M36" s="16">
        <v>2.3133819999999998</v>
      </c>
      <c r="N36" s="16">
        <v>2.3373590000000002</v>
      </c>
      <c r="O36" s="16">
        <v>2.3555290000000002</v>
      </c>
      <c r="P36" s="16">
        <v>2.367343</v>
      </c>
      <c r="Q36" s="16">
        <v>2.3793609999999998</v>
      </c>
      <c r="R36" s="16">
        <v>2.3897360000000001</v>
      </c>
      <c r="S36" s="16">
        <v>2.400604</v>
      </c>
      <c r="T36" s="16">
        <v>2.4095949999999999</v>
      </c>
      <c r="U36" s="16">
        <v>2.417424</v>
      </c>
      <c r="V36" s="16">
        <v>2.4276119999999999</v>
      </c>
      <c r="W36" s="16">
        <v>2.4376069999999999</v>
      </c>
      <c r="X36" s="16">
        <v>2.4422419999999998</v>
      </c>
      <c r="Y36" s="16">
        <v>2.451524</v>
      </c>
      <c r="Z36" s="16">
        <v>2.4604460000000001</v>
      </c>
      <c r="AA36" s="16">
        <v>2.470485</v>
      </c>
      <c r="AB36" s="16">
        <v>2.4819710000000001</v>
      </c>
      <c r="AC36" s="16">
        <v>2.489795</v>
      </c>
      <c r="AD36" s="16">
        <v>2.499339</v>
      </c>
      <c r="AE36" s="16">
        <v>2.5045860000000002</v>
      </c>
      <c r="AF36" s="16">
        <v>2.5103019999999998</v>
      </c>
      <c r="AG36" s="16">
        <v>2.5149140000000001</v>
      </c>
      <c r="AH36" s="16">
        <v>2.5211169999999998</v>
      </c>
      <c r="AI36" s="16">
        <v>2.5261610000000001</v>
      </c>
      <c r="AJ36" s="16">
        <v>2.5281690000000001</v>
      </c>
      <c r="AK36" s="16">
        <v>2.5317560000000001</v>
      </c>
      <c r="AL36" s="13">
        <v>6.1180000000000002E-3</v>
      </c>
    </row>
    <row r="37" spans="1:38" ht="15" customHeight="1" x14ac:dyDescent="0.25">
      <c r="A37" s="7" t="s">
        <v>676</v>
      </c>
      <c r="B37" s="11" t="s">
        <v>677</v>
      </c>
      <c r="C37" s="16">
        <v>1.9349959999999999</v>
      </c>
      <c r="D37" s="16">
        <v>1.9945729999999999</v>
      </c>
      <c r="E37" s="16">
        <v>2.023072</v>
      </c>
      <c r="F37" s="16">
        <v>2.0539239999999999</v>
      </c>
      <c r="G37" s="16">
        <v>2.0983299999999998</v>
      </c>
      <c r="H37" s="16">
        <v>2.1346229999999999</v>
      </c>
      <c r="I37" s="16">
        <v>2.1698810000000002</v>
      </c>
      <c r="J37" s="16">
        <v>2.208555</v>
      </c>
      <c r="K37" s="16">
        <v>2.2454589999999999</v>
      </c>
      <c r="L37" s="16">
        <v>2.2831589999999999</v>
      </c>
      <c r="M37" s="16">
        <v>2.3205100000000001</v>
      </c>
      <c r="N37" s="16">
        <v>2.3594369999999998</v>
      </c>
      <c r="O37" s="16">
        <v>2.3937759999999999</v>
      </c>
      <c r="P37" s="16">
        <v>2.424391</v>
      </c>
      <c r="Q37" s="16">
        <v>2.4550489999999998</v>
      </c>
      <c r="R37" s="16">
        <v>2.4861979999999999</v>
      </c>
      <c r="S37" s="16">
        <v>2.5176050000000001</v>
      </c>
      <c r="T37" s="16">
        <v>2.5490020000000002</v>
      </c>
      <c r="U37" s="16">
        <v>2.5802779999999998</v>
      </c>
      <c r="V37" s="16">
        <v>2.6125690000000001</v>
      </c>
      <c r="W37" s="16">
        <v>2.6453630000000001</v>
      </c>
      <c r="X37" s="16">
        <v>2.6768519999999998</v>
      </c>
      <c r="Y37" s="16">
        <v>2.7093229999999999</v>
      </c>
      <c r="Z37" s="16">
        <v>2.7425039999999998</v>
      </c>
      <c r="AA37" s="16">
        <v>2.7763550000000001</v>
      </c>
      <c r="AB37" s="16">
        <v>2.811515</v>
      </c>
      <c r="AC37" s="16">
        <v>2.8460719999999999</v>
      </c>
      <c r="AD37" s="16">
        <v>2.8818239999999999</v>
      </c>
      <c r="AE37" s="16">
        <v>2.9170929999999999</v>
      </c>
      <c r="AF37" s="16">
        <v>2.9528859999999999</v>
      </c>
      <c r="AG37" s="16">
        <v>2.9884390000000001</v>
      </c>
      <c r="AH37" s="16">
        <v>3.0252409999999998</v>
      </c>
      <c r="AI37" s="16">
        <v>3.0630090000000001</v>
      </c>
      <c r="AJ37" s="16">
        <v>3.0995759999999999</v>
      </c>
      <c r="AK37" s="16">
        <v>3.1374680000000001</v>
      </c>
      <c r="AL37" s="13">
        <v>1.3821E-2</v>
      </c>
    </row>
    <row r="39" spans="1:38" ht="15" customHeight="1" x14ac:dyDescent="0.25">
      <c r="B39" s="10" t="s">
        <v>678</v>
      </c>
    </row>
    <row r="40" spans="1:38" ht="15" customHeight="1" x14ac:dyDescent="0.25">
      <c r="A40" s="7" t="s">
        <v>679</v>
      </c>
      <c r="B40" s="11" t="s">
        <v>680</v>
      </c>
      <c r="C40" s="16">
        <v>0.39500000000000002</v>
      </c>
      <c r="D40" s="16">
        <v>1.0297130000000001</v>
      </c>
      <c r="E40" s="16">
        <v>1.713884</v>
      </c>
      <c r="F40" s="16">
        <v>2.649718</v>
      </c>
      <c r="G40" s="16">
        <v>2.9980509999999998</v>
      </c>
      <c r="H40" s="16">
        <v>2.9980509999999998</v>
      </c>
      <c r="I40" s="16">
        <v>2.9980509999999998</v>
      </c>
      <c r="J40" s="16">
        <v>2.9980509999999998</v>
      </c>
      <c r="K40" s="16">
        <v>2.9980509999999998</v>
      </c>
      <c r="L40" s="16">
        <v>2.9980509999999998</v>
      </c>
      <c r="M40" s="16">
        <v>2.9980509999999998</v>
      </c>
      <c r="N40" s="16">
        <v>2.9980509999999998</v>
      </c>
      <c r="O40" s="16">
        <v>2.9980509999999998</v>
      </c>
      <c r="P40" s="16">
        <v>2.9980509999999998</v>
      </c>
      <c r="Q40" s="16">
        <v>2.9980509999999998</v>
      </c>
      <c r="R40" s="16">
        <v>2.9980509999999998</v>
      </c>
      <c r="S40" s="16">
        <v>2.9980509999999998</v>
      </c>
      <c r="T40" s="16">
        <v>2.9980509999999998</v>
      </c>
      <c r="U40" s="16">
        <v>2.9980509999999998</v>
      </c>
      <c r="V40" s="16">
        <v>2.9980509999999998</v>
      </c>
      <c r="W40" s="16">
        <v>2.9980509999999998</v>
      </c>
      <c r="X40" s="16">
        <v>2.9980509999999998</v>
      </c>
      <c r="Y40" s="16">
        <v>2.9980509999999998</v>
      </c>
      <c r="Z40" s="16">
        <v>2.9980509999999998</v>
      </c>
      <c r="AA40" s="16">
        <v>2.9980509999999998</v>
      </c>
      <c r="AB40" s="16">
        <v>2.9980509999999998</v>
      </c>
      <c r="AC40" s="16">
        <v>2.9980509999999998</v>
      </c>
      <c r="AD40" s="16">
        <v>2.9980509999999998</v>
      </c>
      <c r="AE40" s="16">
        <v>2.9980509999999998</v>
      </c>
      <c r="AF40" s="16">
        <v>2.9980509999999998</v>
      </c>
      <c r="AG40" s="16">
        <v>2.9980509999999998</v>
      </c>
      <c r="AH40" s="16">
        <v>2.9980509999999998</v>
      </c>
      <c r="AI40" s="16">
        <v>2.9980509999999998</v>
      </c>
      <c r="AJ40" s="16">
        <v>2.9980509999999998</v>
      </c>
      <c r="AK40" s="16">
        <v>2.9980509999999998</v>
      </c>
      <c r="AL40" s="13" t="s">
        <v>9</v>
      </c>
    </row>
    <row r="41" spans="1:38" ht="15" customHeight="1" x14ac:dyDescent="0.25">
      <c r="A41" s="7" t="s">
        <v>681</v>
      </c>
      <c r="B41" s="11" t="s">
        <v>682</v>
      </c>
      <c r="C41" s="16">
        <v>1.8416669999999999</v>
      </c>
      <c r="D41" s="16">
        <v>2.400385</v>
      </c>
      <c r="E41" s="16">
        <v>3.1176059999999999</v>
      </c>
      <c r="F41" s="16">
        <v>3.813005</v>
      </c>
      <c r="G41" s="16">
        <v>4.071682</v>
      </c>
      <c r="H41" s="16">
        <v>4.0689820000000001</v>
      </c>
      <c r="I41" s="16">
        <v>4.0373549999999998</v>
      </c>
      <c r="J41" s="16">
        <v>4.0121089999999997</v>
      </c>
      <c r="K41" s="16">
        <v>4.0215509999999997</v>
      </c>
      <c r="L41" s="16">
        <v>4.0266760000000001</v>
      </c>
      <c r="M41" s="16">
        <v>4.016769</v>
      </c>
      <c r="N41" s="16">
        <v>4.0137559999999999</v>
      </c>
      <c r="O41" s="16">
        <v>4.0158519999999998</v>
      </c>
      <c r="P41" s="16">
        <v>4.0129729999999997</v>
      </c>
      <c r="Q41" s="16">
        <v>4.0099559999999999</v>
      </c>
      <c r="R41" s="16">
        <v>4.0133020000000004</v>
      </c>
      <c r="S41" s="16">
        <v>4.01905</v>
      </c>
      <c r="T41" s="16">
        <v>4.0313829999999999</v>
      </c>
      <c r="U41" s="16">
        <v>4.0370249999999999</v>
      </c>
      <c r="V41" s="16">
        <v>4.0331460000000003</v>
      </c>
      <c r="W41" s="16">
        <v>4.0351350000000004</v>
      </c>
      <c r="X41" s="16">
        <v>4.0432379999999997</v>
      </c>
      <c r="Y41" s="16">
        <v>4.0473879999999998</v>
      </c>
      <c r="Z41" s="16">
        <v>4.0580559999999997</v>
      </c>
      <c r="AA41" s="16">
        <v>4.0667239999999998</v>
      </c>
      <c r="AB41" s="16">
        <v>4.0663299999999998</v>
      </c>
      <c r="AC41" s="16">
        <v>4.0612139999999997</v>
      </c>
      <c r="AD41" s="16">
        <v>4.0545179999999998</v>
      </c>
      <c r="AE41" s="16">
        <v>4.0462030000000002</v>
      </c>
      <c r="AF41" s="16">
        <v>4.0458319999999999</v>
      </c>
      <c r="AG41" s="16">
        <v>4.0469200000000001</v>
      </c>
      <c r="AH41" s="16">
        <v>4.0545619999999998</v>
      </c>
      <c r="AI41" s="16">
        <v>4.0554209999999999</v>
      </c>
      <c r="AJ41" s="16">
        <v>4.0582950000000002</v>
      </c>
      <c r="AK41" s="16">
        <v>4.0664939999999996</v>
      </c>
      <c r="AL41" s="13" t="s">
        <v>9</v>
      </c>
    </row>
    <row r="42" spans="1:38" ht="15" customHeight="1" x14ac:dyDescent="0.25">
      <c r="A42" s="7" t="s">
        <v>683</v>
      </c>
      <c r="B42" s="11" t="s">
        <v>684</v>
      </c>
      <c r="C42" s="16">
        <v>3.7278929999999999</v>
      </c>
      <c r="D42" s="16">
        <v>3.923645</v>
      </c>
      <c r="E42" s="16">
        <v>5.1107509999999996</v>
      </c>
      <c r="F42" s="16">
        <v>5.7289729999999999</v>
      </c>
      <c r="G42" s="16">
        <v>6.1213090000000001</v>
      </c>
      <c r="H42" s="16">
        <v>6.1112640000000003</v>
      </c>
      <c r="I42" s="16">
        <v>6.0460909999999997</v>
      </c>
      <c r="J42" s="16">
        <v>6.0222959999999999</v>
      </c>
      <c r="K42" s="16">
        <v>6.0588519999999999</v>
      </c>
      <c r="L42" s="16">
        <v>6.0680899999999998</v>
      </c>
      <c r="M42" s="16">
        <v>6.0268220000000001</v>
      </c>
      <c r="N42" s="16">
        <v>6.0026739999999998</v>
      </c>
      <c r="O42" s="16">
        <v>5.9900599999999997</v>
      </c>
      <c r="P42" s="16">
        <v>5.996283</v>
      </c>
      <c r="Q42" s="16">
        <v>5.9699</v>
      </c>
      <c r="R42" s="16">
        <v>5.94503</v>
      </c>
      <c r="S42" s="16">
        <v>5.9601519999999999</v>
      </c>
      <c r="T42" s="16">
        <v>5.9761759999999997</v>
      </c>
      <c r="U42" s="16">
        <v>5.959765</v>
      </c>
      <c r="V42" s="16">
        <v>5.9475009999999999</v>
      </c>
      <c r="W42" s="16">
        <v>5.9363070000000002</v>
      </c>
      <c r="X42" s="16">
        <v>5.9778710000000004</v>
      </c>
      <c r="Y42" s="16">
        <v>5.9706140000000003</v>
      </c>
      <c r="Z42" s="16">
        <v>5.962758</v>
      </c>
      <c r="AA42" s="16">
        <v>5.9687460000000003</v>
      </c>
      <c r="AB42" s="16">
        <v>5.9509410000000003</v>
      </c>
      <c r="AC42" s="16">
        <v>5.9358209999999998</v>
      </c>
      <c r="AD42" s="16">
        <v>5.9322879999999998</v>
      </c>
      <c r="AE42" s="16">
        <v>5.9143470000000002</v>
      </c>
      <c r="AF42" s="16">
        <v>5.9094639999999998</v>
      </c>
      <c r="AG42" s="16">
        <v>5.9014249999999997</v>
      </c>
      <c r="AH42" s="16">
        <v>5.8933229999999996</v>
      </c>
      <c r="AI42" s="16">
        <v>5.9050750000000001</v>
      </c>
      <c r="AJ42" s="16">
        <v>5.9137880000000003</v>
      </c>
      <c r="AK42" s="16">
        <v>5.908264</v>
      </c>
      <c r="AL42" s="13" t="s">
        <v>9</v>
      </c>
    </row>
    <row r="44" spans="1:38" ht="15" customHeight="1" x14ac:dyDescent="0.25">
      <c r="B44" s="10" t="s">
        <v>0</v>
      </c>
    </row>
    <row r="45" spans="1:38" ht="15" customHeight="1" x14ac:dyDescent="0.25">
      <c r="A45" s="7" t="s">
        <v>685</v>
      </c>
      <c r="B45" s="11" t="s">
        <v>686</v>
      </c>
      <c r="C45" s="12">
        <v>21673.808593999998</v>
      </c>
      <c r="D45" s="12">
        <v>22697.605468999998</v>
      </c>
      <c r="E45" s="12">
        <v>22805.357422000001</v>
      </c>
      <c r="F45" s="12">
        <v>23407.675781000002</v>
      </c>
      <c r="G45" s="12">
        <v>24004.369140999999</v>
      </c>
      <c r="H45" s="12">
        <v>24627.738281000002</v>
      </c>
      <c r="I45" s="12">
        <v>25285.240234000001</v>
      </c>
      <c r="J45" s="12">
        <v>25881.570312</v>
      </c>
      <c r="K45" s="12">
        <v>26466.679688</v>
      </c>
      <c r="L45" s="12">
        <v>27021.21875</v>
      </c>
      <c r="M45" s="12">
        <v>27632.572265999999</v>
      </c>
      <c r="N45" s="12">
        <v>28286.259765999999</v>
      </c>
      <c r="O45" s="12">
        <v>28980.953125</v>
      </c>
      <c r="P45" s="12">
        <v>29695.462890999999</v>
      </c>
      <c r="Q45" s="12">
        <v>30402.28125</v>
      </c>
      <c r="R45" s="12">
        <v>31128.564452999999</v>
      </c>
      <c r="S45" s="12">
        <v>31847.730468999998</v>
      </c>
      <c r="T45" s="12">
        <v>32572.636718999998</v>
      </c>
      <c r="U45" s="12">
        <v>33340.15625</v>
      </c>
      <c r="V45" s="12">
        <v>34118.226562000003</v>
      </c>
      <c r="W45" s="12">
        <v>34913.183594000002</v>
      </c>
      <c r="X45" s="12">
        <v>35683.066405999998</v>
      </c>
      <c r="Y45" s="12">
        <v>36456.195312000003</v>
      </c>
      <c r="Z45" s="12">
        <v>37269.96875</v>
      </c>
      <c r="AA45" s="12">
        <v>38086.214844000002</v>
      </c>
      <c r="AB45" s="12">
        <v>38886.992187999997</v>
      </c>
      <c r="AC45" s="12">
        <v>39704.023437999997</v>
      </c>
      <c r="AD45" s="12">
        <v>40529.5</v>
      </c>
      <c r="AE45" s="12">
        <v>41344.546875</v>
      </c>
      <c r="AF45" s="12">
        <v>42130.019530999998</v>
      </c>
      <c r="AG45" s="12">
        <v>42887.035155999998</v>
      </c>
      <c r="AH45" s="12">
        <v>43685.632812000003</v>
      </c>
      <c r="AI45" s="12">
        <v>44485.835937999997</v>
      </c>
      <c r="AJ45" s="12">
        <v>45286.402344000002</v>
      </c>
      <c r="AK45" s="12">
        <v>46102.105469000002</v>
      </c>
      <c r="AL45" s="13">
        <v>2.1704999999999999E-2</v>
      </c>
    </row>
    <row r="46" spans="1:38" ht="15" customHeight="1" x14ac:dyDescent="0.25">
      <c r="A46" s="7" t="s">
        <v>687</v>
      </c>
      <c r="B46" s="11" t="s">
        <v>688</v>
      </c>
      <c r="C46" s="12">
        <v>7334.517578</v>
      </c>
      <c r="D46" s="12">
        <v>7574.6567379999997</v>
      </c>
      <c r="E46" s="12">
        <v>7613.501953</v>
      </c>
      <c r="F46" s="12">
        <v>7893.2534180000002</v>
      </c>
      <c r="G46" s="12">
        <v>8084.7705079999996</v>
      </c>
      <c r="H46" s="12">
        <v>8225.2392579999996</v>
      </c>
      <c r="I46" s="12">
        <v>8361.3876949999994</v>
      </c>
      <c r="J46" s="12">
        <v>8501.9423829999996</v>
      </c>
      <c r="K46" s="12">
        <v>8640.7548829999996</v>
      </c>
      <c r="L46" s="12">
        <v>8777.0830079999996</v>
      </c>
      <c r="M46" s="12">
        <v>8924.4199219999991</v>
      </c>
      <c r="N46" s="12">
        <v>9071.3652340000008</v>
      </c>
      <c r="O46" s="12">
        <v>9230.5458980000003</v>
      </c>
      <c r="P46" s="12">
        <v>9386.4394530000009</v>
      </c>
      <c r="Q46" s="12">
        <v>9539.9873050000006</v>
      </c>
      <c r="R46" s="12">
        <v>9703.3076170000004</v>
      </c>
      <c r="S46" s="12">
        <v>9853.8994139999995</v>
      </c>
      <c r="T46" s="12">
        <v>9997.7285159999992</v>
      </c>
      <c r="U46" s="12">
        <v>10154.051758</v>
      </c>
      <c r="V46" s="12">
        <v>10320.368164</v>
      </c>
      <c r="W46" s="12">
        <v>10486.089844</v>
      </c>
      <c r="X46" s="12">
        <v>10648.720703000001</v>
      </c>
      <c r="Y46" s="12">
        <v>10823.107421999999</v>
      </c>
      <c r="Z46" s="12">
        <v>10991.128906</v>
      </c>
      <c r="AA46" s="12">
        <v>11170.569336</v>
      </c>
      <c r="AB46" s="12">
        <v>11352.534180000001</v>
      </c>
      <c r="AC46" s="12">
        <v>11519.499023</v>
      </c>
      <c r="AD46" s="12">
        <v>11696.833984000001</v>
      </c>
      <c r="AE46" s="12">
        <v>11875.257812</v>
      </c>
      <c r="AF46" s="12">
        <v>12049.760742</v>
      </c>
      <c r="AG46" s="12">
        <v>12221.123046999999</v>
      </c>
      <c r="AH46" s="12">
        <v>12400.440430000001</v>
      </c>
      <c r="AI46" s="12">
        <v>12568.214844</v>
      </c>
      <c r="AJ46" s="12">
        <v>12731.063477</v>
      </c>
      <c r="AK46" s="12">
        <v>12908.267578000001</v>
      </c>
      <c r="AL46" s="13">
        <v>1.6284E-2</v>
      </c>
    </row>
    <row r="47" spans="1:38" ht="15" customHeight="1" x14ac:dyDescent="0.25">
      <c r="A47" s="7" t="s">
        <v>689</v>
      </c>
      <c r="B47" s="11" t="s">
        <v>690</v>
      </c>
      <c r="C47" s="12">
        <v>2045.580322</v>
      </c>
      <c r="D47" s="12">
        <v>2030.844971</v>
      </c>
      <c r="E47" s="12">
        <v>2152.0759280000002</v>
      </c>
      <c r="F47" s="12">
        <v>2218.7885740000002</v>
      </c>
      <c r="G47" s="12">
        <v>2269.2590329999998</v>
      </c>
      <c r="H47" s="12">
        <v>2314.055664</v>
      </c>
      <c r="I47" s="12">
        <v>2349.9655760000001</v>
      </c>
      <c r="J47" s="12">
        <v>2379.0334469999998</v>
      </c>
      <c r="K47" s="12">
        <v>2417.5131839999999</v>
      </c>
      <c r="L47" s="12">
        <v>2450.4692380000001</v>
      </c>
      <c r="M47" s="12">
        <v>2480.9262699999999</v>
      </c>
      <c r="N47" s="12">
        <v>2508.499268</v>
      </c>
      <c r="O47" s="12">
        <v>2545.2377929999998</v>
      </c>
      <c r="P47" s="12">
        <v>2573.6323240000002</v>
      </c>
      <c r="Q47" s="12">
        <v>2603.4936520000001</v>
      </c>
      <c r="R47" s="12">
        <v>2637.2170409999999</v>
      </c>
      <c r="S47" s="12">
        <v>2659.9858399999998</v>
      </c>
      <c r="T47" s="12">
        <v>2678.8740229999999</v>
      </c>
      <c r="U47" s="12">
        <v>2711.779297</v>
      </c>
      <c r="V47" s="12">
        <v>2744.4252929999998</v>
      </c>
      <c r="W47" s="12">
        <v>2774.2773440000001</v>
      </c>
      <c r="X47" s="12">
        <v>2806.7170409999999</v>
      </c>
      <c r="Y47" s="12">
        <v>2837.6667480000001</v>
      </c>
      <c r="Z47" s="12">
        <v>2867.0322270000001</v>
      </c>
      <c r="AA47" s="12">
        <v>2904.765625</v>
      </c>
      <c r="AB47" s="12">
        <v>2944.6679690000001</v>
      </c>
      <c r="AC47" s="12">
        <v>2975.7241210000002</v>
      </c>
      <c r="AD47" s="12">
        <v>3011.584961</v>
      </c>
      <c r="AE47" s="12">
        <v>3049.5561520000001</v>
      </c>
      <c r="AF47" s="12">
        <v>3082.3115229999999</v>
      </c>
      <c r="AG47" s="12">
        <v>3122.3647460000002</v>
      </c>
      <c r="AH47" s="12">
        <v>3162.967529</v>
      </c>
      <c r="AI47" s="12">
        <v>3197.5629880000001</v>
      </c>
      <c r="AJ47" s="12">
        <v>3228.4272460000002</v>
      </c>
      <c r="AK47" s="12">
        <v>3265.1142580000001</v>
      </c>
      <c r="AL47" s="13">
        <v>1.4493000000000001E-2</v>
      </c>
    </row>
    <row r="48" spans="1:38" ht="15" customHeight="1" x14ac:dyDescent="0.25">
      <c r="A48" s="7" t="s">
        <v>691</v>
      </c>
      <c r="B48" s="11" t="s">
        <v>692</v>
      </c>
      <c r="C48" s="12">
        <v>5288.9379879999997</v>
      </c>
      <c r="D48" s="12">
        <v>5543.8120120000003</v>
      </c>
      <c r="E48" s="12">
        <v>5461.4267579999996</v>
      </c>
      <c r="F48" s="12">
        <v>5674.4653319999998</v>
      </c>
      <c r="G48" s="12">
        <v>5815.5117190000001</v>
      </c>
      <c r="H48" s="12">
        <v>5911.1826170000004</v>
      </c>
      <c r="I48" s="12">
        <v>6011.421875</v>
      </c>
      <c r="J48" s="12">
        <v>6122.9091799999997</v>
      </c>
      <c r="K48" s="12">
        <v>6223.2416990000002</v>
      </c>
      <c r="L48" s="12">
        <v>6326.6137699999999</v>
      </c>
      <c r="M48" s="12">
        <v>6443.4936520000001</v>
      </c>
      <c r="N48" s="12">
        <v>6562.8657229999999</v>
      </c>
      <c r="O48" s="12">
        <v>6685.3081050000001</v>
      </c>
      <c r="P48" s="12">
        <v>6812.8076170000004</v>
      </c>
      <c r="Q48" s="12">
        <v>6936.4936520000001</v>
      </c>
      <c r="R48" s="12">
        <v>7066.0903319999998</v>
      </c>
      <c r="S48" s="12">
        <v>7193.9140619999998</v>
      </c>
      <c r="T48" s="12">
        <v>7318.8549800000001</v>
      </c>
      <c r="U48" s="12">
        <v>7442.2724609999996</v>
      </c>
      <c r="V48" s="12">
        <v>7575.9428710000002</v>
      </c>
      <c r="W48" s="12">
        <v>7711.8134769999997</v>
      </c>
      <c r="X48" s="12">
        <v>7842.0039059999999</v>
      </c>
      <c r="Y48" s="12">
        <v>7985.4414059999999</v>
      </c>
      <c r="Z48" s="12">
        <v>8124.0971680000002</v>
      </c>
      <c r="AA48" s="12">
        <v>8265.8037110000005</v>
      </c>
      <c r="AB48" s="12">
        <v>8407.8662110000005</v>
      </c>
      <c r="AC48" s="12">
        <v>8543.7753909999992</v>
      </c>
      <c r="AD48" s="12">
        <v>8685.2480469999991</v>
      </c>
      <c r="AE48" s="12">
        <v>8825.7011719999991</v>
      </c>
      <c r="AF48" s="12">
        <v>8967.4492190000001</v>
      </c>
      <c r="AG48" s="12">
        <v>9098.7597659999992</v>
      </c>
      <c r="AH48" s="12">
        <v>9237.4736329999996</v>
      </c>
      <c r="AI48" s="12">
        <v>9370.6533199999994</v>
      </c>
      <c r="AJ48" s="12">
        <v>9502.6347659999992</v>
      </c>
      <c r="AK48" s="12">
        <v>9643.1533199999994</v>
      </c>
      <c r="AL48" s="13">
        <v>1.6916E-2</v>
      </c>
    </row>
    <row r="49" spans="1:38" ht="15" customHeight="1" x14ac:dyDescent="0.25">
      <c r="A49" s="7" t="s">
        <v>693</v>
      </c>
      <c r="B49" s="11" t="s">
        <v>694</v>
      </c>
      <c r="C49" s="12">
        <v>1903.2100829999999</v>
      </c>
      <c r="D49" s="12">
        <v>1970.8038329999999</v>
      </c>
      <c r="E49" s="12">
        <v>1992.179077</v>
      </c>
      <c r="F49" s="12">
        <v>2070.110596</v>
      </c>
      <c r="G49" s="12">
        <v>2096.6467290000001</v>
      </c>
      <c r="H49" s="12">
        <v>2123.1809079999998</v>
      </c>
      <c r="I49" s="12">
        <v>2154.8642580000001</v>
      </c>
      <c r="J49" s="12">
        <v>2186.4548340000001</v>
      </c>
      <c r="K49" s="12">
        <v>2219.954346</v>
      </c>
      <c r="L49" s="12">
        <v>2244.4223630000001</v>
      </c>
      <c r="M49" s="12">
        <v>2268.6044919999999</v>
      </c>
      <c r="N49" s="12">
        <v>2294.451904</v>
      </c>
      <c r="O49" s="12">
        <v>2321.7065429999998</v>
      </c>
      <c r="P49" s="12">
        <v>2349.1928710000002</v>
      </c>
      <c r="Q49" s="12">
        <v>2376.6970209999999</v>
      </c>
      <c r="R49" s="12">
        <v>2403.8098140000002</v>
      </c>
      <c r="S49" s="12">
        <v>2428.1850589999999</v>
      </c>
      <c r="T49" s="12">
        <v>2456.1115719999998</v>
      </c>
      <c r="U49" s="12">
        <v>2480.6030270000001</v>
      </c>
      <c r="V49" s="12">
        <v>2506.2270509999998</v>
      </c>
      <c r="W49" s="12">
        <v>2535.9338379999999</v>
      </c>
      <c r="X49" s="12">
        <v>2565.6733399999998</v>
      </c>
      <c r="Y49" s="12">
        <v>2600.3666990000002</v>
      </c>
      <c r="Z49" s="12">
        <v>2626.6057129999999</v>
      </c>
      <c r="AA49" s="12">
        <v>2653.5810550000001</v>
      </c>
      <c r="AB49" s="12">
        <v>2682.001221</v>
      </c>
      <c r="AC49" s="12">
        <v>2707.6389159999999</v>
      </c>
      <c r="AD49" s="12">
        <v>2734.2971189999998</v>
      </c>
      <c r="AE49" s="12">
        <v>2761.4841310000002</v>
      </c>
      <c r="AF49" s="12">
        <v>2788.98999</v>
      </c>
      <c r="AG49" s="12">
        <v>2816.294922</v>
      </c>
      <c r="AH49" s="12">
        <v>2846.5866700000001</v>
      </c>
      <c r="AI49" s="12">
        <v>2877.8183589999999</v>
      </c>
      <c r="AJ49" s="12">
        <v>2907.5603030000002</v>
      </c>
      <c r="AK49" s="12">
        <v>2938.8952640000002</v>
      </c>
      <c r="AL49" s="13">
        <v>1.2182E-2</v>
      </c>
    </row>
    <row r="50" spans="1:38" ht="15" customHeight="1" x14ac:dyDescent="0.25">
      <c r="A50" s="7" t="s">
        <v>695</v>
      </c>
      <c r="B50" s="11" t="s">
        <v>696</v>
      </c>
      <c r="C50" s="12">
        <v>3385.727539</v>
      </c>
      <c r="D50" s="12">
        <v>3573.0085450000001</v>
      </c>
      <c r="E50" s="12">
        <v>3469.2482909999999</v>
      </c>
      <c r="F50" s="12">
        <v>3604.3547359999998</v>
      </c>
      <c r="G50" s="12">
        <v>3718.8652339999999</v>
      </c>
      <c r="H50" s="12">
        <v>3788.001953</v>
      </c>
      <c r="I50" s="12">
        <v>3856.5576169999999</v>
      </c>
      <c r="J50" s="12">
        <v>3936.454346</v>
      </c>
      <c r="K50" s="12">
        <v>4003.286865</v>
      </c>
      <c r="L50" s="12">
        <v>4082.1916500000002</v>
      </c>
      <c r="M50" s="12">
        <v>4174.8891599999997</v>
      </c>
      <c r="N50" s="12">
        <v>4268.4140619999998</v>
      </c>
      <c r="O50" s="12">
        <v>4363.6015619999998</v>
      </c>
      <c r="P50" s="12">
        <v>4463.6152339999999</v>
      </c>
      <c r="Q50" s="12">
        <v>4559.7963870000003</v>
      </c>
      <c r="R50" s="12">
        <v>4662.2807620000003</v>
      </c>
      <c r="S50" s="12">
        <v>4765.7290039999998</v>
      </c>
      <c r="T50" s="12">
        <v>4862.7436520000001</v>
      </c>
      <c r="U50" s="12">
        <v>4961.6689450000003</v>
      </c>
      <c r="V50" s="12">
        <v>5069.7163090000004</v>
      </c>
      <c r="W50" s="12">
        <v>5175.8798829999996</v>
      </c>
      <c r="X50" s="12">
        <v>5276.3315430000002</v>
      </c>
      <c r="Y50" s="12">
        <v>5385.0742190000001</v>
      </c>
      <c r="Z50" s="12">
        <v>5497.4916990000002</v>
      </c>
      <c r="AA50" s="12">
        <v>5612.2236329999996</v>
      </c>
      <c r="AB50" s="12">
        <v>5725.8662109999996</v>
      </c>
      <c r="AC50" s="12">
        <v>5836.1357420000004</v>
      </c>
      <c r="AD50" s="12">
        <v>5950.951172</v>
      </c>
      <c r="AE50" s="12">
        <v>6064.2163090000004</v>
      </c>
      <c r="AF50" s="12">
        <v>6178.4604490000002</v>
      </c>
      <c r="AG50" s="12">
        <v>6282.4643550000001</v>
      </c>
      <c r="AH50" s="12">
        <v>6390.8872069999998</v>
      </c>
      <c r="AI50" s="12">
        <v>6492.8330079999996</v>
      </c>
      <c r="AJ50" s="12">
        <v>6595.0751950000003</v>
      </c>
      <c r="AK50" s="12">
        <v>6704.2578119999998</v>
      </c>
      <c r="AL50" s="13">
        <v>1.9254E-2</v>
      </c>
    </row>
    <row r="51" spans="1:38" ht="15" customHeight="1" x14ac:dyDescent="0.25">
      <c r="A51" s="7" t="s">
        <v>697</v>
      </c>
      <c r="B51" s="10" t="s">
        <v>698</v>
      </c>
      <c r="C51" s="14">
        <v>29008.326172000001</v>
      </c>
      <c r="D51" s="14">
        <v>30272.261718999998</v>
      </c>
      <c r="E51" s="14">
        <v>30418.859375</v>
      </c>
      <c r="F51" s="14">
        <v>31300.929688</v>
      </c>
      <c r="G51" s="14">
        <v>32089.140625</v>
      </c>
      <c r="H51" s="14">
        <v>32852.976562000003</v>
      </c>
      <c r="I51" s="14">
        <v>33646.628905999998</v>
      </c>
      <c r="J51" s="14">
        <v>34383.511719000002</v>
      </c>
      <c r="K51" s="14">
        <v>35107.433594000002</v>
      </c>
      <c r="L51" s="14">
        <v>35798.300780999998</v>
      </c>
      <c r="M51" s="14">
        <v>36556.992187999997</v>
      </c>
      <c r="N51" s="14">
        <v>37357.625</v>
      </c>
      <c r="O51" s="14">
        <v>38211.5</v>
      </c>
      <c r="P51" s="14">
        <v>39081.902344000002</v>
      </c>
      <c r="Q51" s="14">
        <v>39942.269530999998</v>
      </c>
      <c r="R51" s="14">
        <v>40831.871094000002</v>
      </c>
      <c r="S51" s="14">
        <v>41701.628905999998</v>
      </c>
      <c r="T51" s="14">
        <v>42570.367187999997</v>
      </c>
      <c r="U51" s="14">
        <v>43494.207030999998</v>
      </c>
      <c r="V51" s="14">
        <v>44438.59375</v>
      </c>
      <c r="W51" s="14">
        <v>45399.273437999997</v>
      </c>
      <c r="X51" s="14">
        <v>46331.789062000003</v>
      </c>
      <c r="Y51" s="14">
        <v>47279.304687999997</v>
      </c>
      <c r="Z51" s="14">
        <v>48261.097655999998</v>
      </c>
      <c r="AA51" s="14">
        <v>49256.785155999998</v>
      </c>
      <c r="AB51" s="14">
        <v>50239.527344000002</v>
      </c>
      <c r="AC51" s="14">
        <v>51223.523437999997</v>
      </c>
      <c r="AD51" s="14">
        <v>52226.335937999997</v>
      </c>
      <c r="AE51" s="14">
        <v>53219.804687999997</v>
      </c>
      <c r="AF51" s="14">
        <v>54179.78125</v>
      </c>
      <c r="AG51" s="14">
        <v>55108.15625</v>
      </c>
      <c r="AH51" s="14">
        <v>56086.074219000002</v>
      </c>
      <c r="AI51" s="14">
        <v>57054.050780999998</v>
      </c>
      <c r="AJ51" s="14">
        <v>58017.464844000002</v>
      </c>
      <c r="AK51" s="14">
        <v>59010.375</v>
      </c>
      <c r="AL51" s="15">
        <v>2.0433E-2</v>
      </c>
    </row>
    <row r="53" spans="1:38" ht="15" customHeight="1" x14ac:dyDescent="0.25">
      <c r="B53" s="10" t="s">
        <v>699</v>
      </c>
    </row>
    <row r="54" spans="1:38" ht="15" customHeight="1" x14ac:dyDescent="0.25">
      <c r="A54" s="7" t="s">
        <v>700</v>
      </c>
      <c r="B54" s="11" t="s">
        <v>701</v>
      </c>
      <c r="C54" s="64">
        <v>323.66772500000002</v>
      </c>
      <c r="D54" s="64">
        <v>325.915863</v>
      </c>
      <c r="E54" s="64">
        <v>328.517517</v>
      </c>
      <c r="F54" s="64">
        <v>331.14413500000001</v>
      </c>
      <c r="G54" s="64">
        <v>333.76190200000002</v>
      </c>
      <c r="H54" s="64">
        <v>336.36541699999998</v>
      </c>
      <c r="I54" s="64">
        <v>338.95205700000002</v>
      </c>
      <c r="J54" s="64">
        <v>341.51858499999997</v>
      </c>
      <c r="K54" s="64">
        <v>344.06231700000001</v>
      </c>
      <c r="L54" s="64">
        <v>346.57928500000003</v>
      </c>
      <c r="M54" s="64">
        <v>349.06863399999997</v>
      </c>
      <c r="N54" s="64">
        <v>351.52121</v>
      </c>
      <c r="O54" s="64">
        <v>353.934662</v>
      </c>
      <c r="P54" s="64">
        <v>356.30508400000002</v>
      </c>
      <c r="Q54" s="64">
        <v>358.630157</v>
      </c>
      <c r="R54" s="64">
        <v>360.90823399999999</v>
      </c>
      <c r="S54" s="64">
        <v>363.13848899999999</v>
      </c>
      <c r="T54" s="64">
        <v>365.32080100000002</v>
      </c>
      <c r="U54" s="64">
        <v>367.45550500000002</v>
      </c>
      <c r="V54" s="64">
        <v>369.54434199999997</v>
      </c>
      <c r="W54" s="64">
        <v>371.59222399999999</v>
      </c>
      <c r="X54" s="64">
        <v>373.60046399999999</v>
      </c>
      <c r="Y54" s="64">
        <v>375.57104500000003</v>
      </c>
      <c r="Z54" s="64">
        <v>377.50650000000002</v>
      </c>
      <c r="AA54" s="64">
        <v>379.41018700000001</v>
      </c>
      <c r="AB54" s="64">
        <v>381.285461</v>
      </c>
      <c r="AC54" s="64">
        <v>383.136169</v>
      </c>
      <c r="AD54" s="64">
        <v>384.966003</v>
      </c>
      <c r="AE54" s="64">
        <v>386.77929699999999</v>
      </c>
      <c r="AF54" s="64">
        <v>388.580353</v>
      </c>
      <c r="AG54" s="64">
        <v>390.37460299999998</v>
      </c>
      <c r="AH54" s="64">
        <v>392.16479500000003</v>
      </c>
      <c r="AI54" s="64">
        <v>393.95049999999998</v>
      </c>
      <c r="AJ54" s="64">
        <v>395.73525999999998</v>
      </c>
      <c r="AK54" s="64">
        <v>397.52450599999997</v>
      </c>
      <c r="AL54" s="13">
        <v>6.0369999999999998E-3</v>
      </c>
    </row>
    <row r="55" spans="1:38" ht="15" customHeight="1" x14ac:dyDescent="0.25">
      <c r="A55" s="7" t="s">
        <v>702</v>
      </c>
      <c r="B55" s="11" t="s">
        <v>703</v>
      </c>
      <c r="C55" s="64">
        <v>258.48156699999998</v>
      </c>
      <c r="D55" s="64">
        <v>260.73764</v>
      </c>
      <c r="E55" s="64">
        <v>263.18048099999999</v>
      </c>
      <c r="F55" s="64">
        <v>265.64724699999999</v>
      </c>
      <c r="G55" s="64">
        <v>268.11840799999999</v>
      </c>
      <c r="H55" s="64">
        <v>270.56256100000002</v>
      </c>
      <c r="I55" s="64">
        <v>273.002838</v>
      </c>
      <c r="J55" s="64">
        <v>275.45181300000002</v>
      </c>
      <c r="K55" s="64">
        <v>277.83795199999997</v>
      </c>
      <c r="L55" s="64">
        <v>280.09072900000001</v>
      </c>
      <c r="M55" s="64">
        <v>282.318512</v>
      </c>
      <c r="N55" s="64">
        <v>284.51449600000001</v>
      </c>
      <c r="O55" s="64">
        <v>286.65216099999998</v>
      </c>
      <c r="P55" s="64">
        <v>288.750336</v>
      </c>
      <c r="Q55" s="64">
        <v>290.83084100000002</v>
      </c>
      <c r="R55" s="64">
        <v>292.890961</v>
      </c>
      <c r="S55" s="64">
        <v>294.92855800000001</v>
      </c>
      <c r="T55" s="64">
        <v>296.94158900000002</v>
      </c>
      <c r="U55" s="64">
        <v>298.92721599999999</v>
      </c>
      <c r="V55" s="64">
        <v>300.88378899999998</v>
      </c>
      <c r="W55" s="64">
        <v>302.81213400000001</v>
      </c>
      <c r="X55" s="64">
        <v>304.708618</v>
      </c>
      <c r="Y55" s="64">
        <v>306.57089200000001</v>
      </c>
      <c r="Z55" s="64">
        <v>308.39822400000003</v>
      </c>
      <c r="AA55" s="64">
        <v>310.19149800000002</v>
      </c>
      <c r="AB55" s="64">
        <v>311.95242300000001</v>
      </c>
      <c r="AC55" s="64">
        <v>313.68240400000002</v>
      </c>
      <c r="AD55" s="64">
        <v>315.38275099999998</v>
      </c>
      <c r="AE55" s="64">
        <v>317.05575599999997</v>
      </c>
      <c r="AF55" s="64">
        <v>318.70455900000002</v>
      </c>
      <c r="AG55" s="64">
        <v>320.33764600000001</v>
      </c>
      <c r="AH55" s="64">
        <v>321.942474</v>
      </c>
      <c r="AI55" s="64">
        <v>323.52981599999998</v>
      </c>
      <c r="AJ55" s="64">
        <v>325.11514299999999</v>
      </c>
      <c r="AK55" s="64">
        <v>326.69662499999998</v>
      </c>
      <c r="AL55" s="13">
        <v>6.8570000000000002E-3</v>
      </c>
    </row>
    <row r="56" spans="1:38" ht="15" customHeight="1" x14ac:dyDescent="0.25">
      <c r="A56" s="7" t="s">
        <v>704</v>
      </c>
      <c r="B56" s="11" t="s">
        <v>705</v>
      </c>
      <c r="C56" s="64">
        <v>49.470965999999997</v>
      </c>
      <c r="D56" s="64">
        <v>51.082714000000003</v>
      </c>
      <c r="E56" s="64">
        <v>52.834099000000002</v>
      </c>
      <c r="F56" s="64">
        <v>54.640422999999998</v>
      </c>
      <c r="G56" s="64">
        <v>56.516463999999999</v>
      </c>
      <c r="H56" s="64">
        <v>58.379958999999999</v>
      </c>
      <c r="I56" s="64">
        <v>60.307414999999999</v>
      </c>
      <c r="J56" s="64">
        <v>62.203299999999999</v>
      </c>
      <c r="K56" s="64">
        <v>64.077743999999996</v>
      </c>
      <c r="L56" s="64">
        <v>65.996582000000004</v>
      </c>
      <c r="M56" s="64">
        <v>67.818259999999995</v>
      </c>
      <c r="N56" s="64">
        <v>69.518683999999993</v>
      </c>
      <c r="O56" s="64">
        <v>71.153830999999997</v>
      </c>
      <c r="P56" s="64">
        <v>72.717185999999998</v>
      </c>
      <c r="Q56" s="64">
        <v>74.107956000000001</v>
      </c>
      <c r="R56" s="64">
        <v>75.229004000000003</v>
      </c>
      <c r="S56" s="64">
        <v>76.224875999999995</v>
      </c>
      <c r="T56" s="64">
        <v>77.157821999999996</v>
      </c>
      <c r="U56" s="64">
        <v>78.134293</v>
      </c>
      <c r="V56" s="64">
        <v>79.219086000000004</v>
      </c>
      <c r="W56" s="64">
        <v>80.172256000000004</v>
      </c>
      <c r="X56" s="64">
        <v>80.864913999999999</v>
      </c>
      <c r="Y56" s="64">
        <v>81.355659000000003</v>
      </c>
      <c r="Z56" s="64">
        <v>81.784537999999998</v>
      </c>
      <c r="AA56" s="64">
        <v>82.227158000000003</v>
      </c>
      <c r="AB56" s="64">
        <v>82.580399</v>
      </c>
      <c r="AC56" s="64">
        <v>82.998633999999996</v>
      </c>
      <c r="AD56" s="64">
        <v>83.425055999999998</v>
      </c>
      <c r="AE56" s="64">
        <v>83.942397999999997</v>
      </c>
      <c r="AF56" s="64">
        <v>84.631873999999996</v>
      </c>
      <c r="AG56" s="64">
        <v>85.267775999999998</v>
      </c>
      <c r="AH56" s="64">
        <v>85.874381999999997</v>
      </c>
      <c r="AI56" s="64">
        <v>86.492401000000001</v>
      </c>
      <c r="AJ56" s="64">
        <v>87.119713000000004</v>
      </c>
      <c r="AK56" s="64">
        <v>87.861542</v>
      </c>
      <c r="AL56" s="13">
        <v>1.6570000000000001E-2</v>
      </c>
    </row>
    <row r="57" spans="1:38" ht="15" customHeight="1" x14ac:dyDescent="0.25">
      <c r="A57" s="7" t="s">
        <v>706</v>
      </c>
      <c r="B57" s="11" t="s">
        <v>707</v>
      </c>
      <c r="C57" s="64">
        <v>144.24588</v>
      </c>
      <c r="D57" s="64">
        <v>145.559372</v>
      </c>
      <c r="E57" s="64">
        <v>147.382126</v>
      </c>
      <c r="F57" s="64">
        <v>149.109848</v>
      </c>
      <c r="G57" s="64">
        <v>150.59345999999999</v>
      </c>
      <c r="H57" s="64">
        <v>151.788589</v>
      </c>
      <c r="I57" s="64">
        <v>153.14975000000001</v>
      </c>
      <c r="J57" s="64">
        <v>154.20230100000001</v>
      </c>
      <c r="K57" s="64">
        <v>155.07093800000001</v>
      </c>
      <c r="L57" s="64">
        <v>155.72846999999999</v>
      </c>
      <c r="M57" s="64">
        <v>156.51234400000001</v>
      </c>
      <c r="N57" s="64">
        <v>157.47511299999999</v>
      </c>
      <c r="O57" s="64">
        <v>158.586792</v>
      </c>
      <c r="P57" s="64">
        <v>159.78439299999999</v>
      </c>
      <c r="Q57" s="64">
        <v>161.05355800000001</v>
      </c>
      <c r="R57" s="64">
        <v>162.17176799999999</v>
      </c>
      <c r="S57" s="64">
        <v>163.317001</v>
      </c>
      <c r="T57" s="64">
        <v>164.36102299999999</v>
      </c>
      <c r="U57" s="64">
        <v>165.43100000000001</v>
      </c>
      <c r="V57" s="64">
        <v>166.44703699999999</v>
      </c>
      <c r="W57" s="64">
        <v>167.494812</v>
      </c>
      <c r="X57" s="64">
        <v>168.47799699999999</v>
      </c>
      <c r="Y57" s="64">
        <v>169.35354599999999</v>
      </c>
      <c r="Z57" s="64">
        <v>170.330963</v>
      </c>
      <c r="AA57" s="64">
        <v>171.53341699999999</v>
      </c>
      <c r="AB57" s="64">
        <v>172.52255199999999</v>
      </c>
      <c r="AC57" s="64">
        <v>173.66018700000001</v>
      </c>
      <c r="AD57" s="64">
        <v>174.77879300000001</v>
      </c>
      <c r="AE57" s="64">
        <v>175.85346999999999</v>
      </c>
      <c r="AF57" s="64">
        <v>176.87124600000001</v>
      </c>
      <c r="AG57" s="64">
        <v>177.81970200000001</v>
      </c>
      <c r="AH57" s="64">
        <v>178.86573799999999</v>
      </c>
      <c r="AI57" s="64">
        <v>179.830139</v>
      </c>
      <c r="AJ57" s="64">
        <v>180.702957</v>
      </c>
      <c r="AK57" s="64">
        <v>181.73080400000001</v>
      </c>
      <c r="AL57" s="13">
        <v>6.7479999999999997E-3</v>
      </c>
    </row>
    <row r="58" spans="1:38" ht="15" customHeight="1" x14ac:dyDescent="0.25">
      <c r="A58" s="7" t="s">
        <v>708</v>
      </c>
      <c r="B58" s="11" t="s">
        <v>709</v>
      </c>
      <c r="C58" s="64">
        <v>11.985001</v>
      </c>
      <c r="D58" s="64">
        <v>12.506893</v>
      </c>
      <c r="E58" s="64">
        <v>12.789089000000001</v>
      </c>
      <c r="F58" s="64">
        <v>13.003897</v>
      </c>
      <c r="G58" s="64">
        <v>13.361279</v>
      </c>
      <c r="H58" s="64">
        <v>13.562061</v>
      </c>
      <c r="I58" s="64">
        <v>13.711907999999999</v>
      </c>
      <c r="J58" s="64">
        <v>13.876728999999999</v>
      </c>
      <c r="K58" s="64">
        <v>14.019176</v>
      </c>
      <c r="L58" s="64">
        <v>14.125228</v>
      </c>
      <c r="M58" s="64">
        <v>14.243269</v>
      </c>
      <c r="N58" s="64">
        <v>14.364117</v>
      </c>
      <c r="O58" s="64">
        <v>14.452211999999999</v>
      </c>
      <c r="P58" s="64">
        <v>14.523320999999999</v>
      </c>
      <c r="Q58" s="64">
        <v>14.565291</v>
      </c>
      <c r="R58" s="64">
        <v>14.597082</v>
      </c>
      <c r="S58" s="64">
        <v>14.625454</v>
      </c>
      <c r="T58" s="64">
        <v>14.640489000000001</v>
      </c>
      <c r="U58" s="64">
        <v>14.65136</v>
      </c>
      <c r="V58" s="64">
        <v>14.668316000000001</v>
      </c>
      <c r="W58" s="64">
        <v>14.696823</v>
      </c>
      <c r="X58" s="64">
        <v>14.722670000000001</v>
      </c>
      <c r="Y58" s="64">
        <v>14.762969</v>
      </c>
      <c r="Z58" s="64">
        <v>14.807744</v>
      </c>
      <c r="AA58" s="64">
        <v>14.843526000000001</v>
      </c>
      <c r="AB58" s="64">
        <v>14.862636</v>
      </c>
      <c r="AC58" s="64">
        <v>14.871206000000001</v>
      </c>
      <c r="AD58" s="64">
        <v>14.874605000000001</v>
      </c>
      <c r="AE58" s="64">
        <v>14.878508999999999</v>
      </c>
      <c r="AF58" s="64">
        <v>14.879269000000001</v>
      </c>
      <c r="AG58" s="64">
        <v>14.860626999999999</v>
      </c>
      <c r="AH58" s="64">
        <v>14.834331000000001</v>
      </c>
      <c r="AI58" s="64">
        <v>14.806193</v>
      </c>
      <c r="AJ58" s="64">
        <v>14.784098</v>
      </c>
      <c r="AK58" s="64">
        <v>14.772128</v>
      </c>
      <c r="AL58" s="13">
        <v>5.0569999999999999E-3</v>
      </c>
    </row>
    <row r="60" spans="1:38" ht="15" customHeight="1" x14ac:dyDescent="0.25">
      <c r="B60" s="10" t="s">
        <v>710</v>
      </c>
    </row>
    <row r="61" spans="1:38" ht="15" customHeight="1" x14ac:dyDescent="0.25">
      <c r="A61" s="7" t="s">
        <v>711</v>
      </c>
      <c r="B61" s="11" t="s">
        <v>712</v>
      </c>
      <c r="C61" s="64">
        <v>159.18641700000001</v>
      </c>
      <c r="D61" s="64">
        <v>160.357788</v>
      </c>
      <c r="E61" s="64">
        <v>161.88940400000001</v>
      </c>
      <c r="F61" s="64">
        <v>163.64605700000001</v>
      </c>
      <c r="G61" s="64">
        <v>165.26495399999999</v>
      </c>
      <c r="H61" s="64">
        <v>166.32487499999999</v>
      </c>
      <c r="I61" s="64">
        <v>167.31163000000001</v>
      </c>
      <c r="J61" s="64">
        <v>168.31625399999999</v>
      </c>
      <c r="K61" s="64">
        <v>169.21347</v>
      </c>
      <c r="L61" s="64">
        <v>169.984894</v>
      </c>
      <c r="M61" s="64">
        <v>170.83329800000001</v>
      </c>
      <c r="N61" s="64">
        <v>171.811218</v>
      </c>
      <c r="O61" s="64">
        <v>173.02349899999999</v>
      </c>
      <c r="P61" s="64">
        <v>174.41830400000001</v>
      </c>
      <c r="Q61" s="64">
        <v>175.739182</v>
      </c>
      <c r="R61" s="64">
        <v>177.04057299999999</v>
      </c>
      <c r="S61" s="64">
        <v>178.32832300000001</v>
      </c>
      <c r="T61" s="64">
        <v>179.56895399999999</v>
      </c>
      <c r="U61" s="64">
        <v>180.58109999999999</v>
      </c>
      <c r="V61" s="64">
        <v>181.477249</v>
      </c>
      <c r="W61" s="64">
        <v>182.46519499999999</v>
      </c>
      <c r="X61" s="64">
        <v>183.57020600000001</v>
      </c>
      <c r="Y61" s="64">
        <v>184.708878</v>
      </c>
      <c r="Z61" s="64">
        <v>185.839844</v>
      </c>
      <c r="AA61" s="64">
        <v>186.967331</v>
      </c>
      <c r="AB61" s="64">
        <v>188.154144</v>
      </c>
      <c r="AC61" s="64">
        <v>189.31442300000001</v>
      </c>
      <c r="AD61" s="64">
        <v>190.477081</v>
      </c>
      <c r="AE61" s="64">
        <v>191.558975</v>
      </c>
      <c r="AF61" s="64">
        <v>192.562973</v>
      </c>
      <c r="AG61" s="64">
        <v>193.60730000000001</v>
      </c>
      <c r="AH61" s="64">
        <v>194.716995</v>
      </c>
      <c r="AI61" s="64">
        <v>195.838043</v>
      </c>
      <c r="AJ61" s="64">
        <v>196.95626799999999</v>
      </c>
      <c r="AK61" s="64">
        <v>198.04785200000001</v>
      </c>
      <c r="AL61" s="13">
        <v>6.4180000000000001E-3</v>
      </c>
    </row>
    <row r="62" spans="1:38" ht="15" customHeight="1" x14ac:dyDescent="0.25">
      <c r="A62" s="7" t="s">
        <v>713</v>
      </c>
      <c r="B62" s="11" t="s">
        <v>714</v>
      </c>
      <c r="C62" s="16">
        <v>1.06995</v>
      </c>
      <c r="D62" s="16">
        <v>1.082217</v>
      </c>
      <c r="E62" s="16">
        <v>1.101415</v>
      </c>
      <c r="F62" s="16">
        <v>1.117969</v>
      </c>
      <c r="G62" s="16">
        <v>1.134827</v>
      </c>
      <c r="H62" s="16">
        <v>1.150898</v>
      </c>
      <c r="I62" s="16">
        <v>1.167235</v>
      </c>
      <c r="J62" s="16">
        <v>1.183867</v>
      </c>
      <c r="K62" s="16">
        <v>1.2012160000000001</v>
      </c>
      <c r="L62" s="16">
        <v>1.220988</v>
      </c>
      <c r="M62" s="16">
        <v>1.240683</v>
      </c>
      <c r="N62" s="16">
        <v>1.2611330000000001</v>
      </c>
      <c r="O62" s="16">
        <v>1.2824599999999999</v>
      </c>
      <c r="P62" s="16">
        <v>1.3034570000000001</v>
      </c>
      <c r="Q62" s="16">
        <v>1.324975</v>
      </c>
      <c r="R62" s="16">
        <v>1.345583</v>
      </c>
      <c r="S62" s="16">
        <v>1.3666929999999999</v>
      </c>
      <c r="T62" s="16">
        <v>1.388158</v>
      </c>
      <c r="U62" s="16">
        <v>1.409905</v>
      </c>
      <c r="V62" s="16">
        <v>1.4321109999999999</v>
      </c>
      <c r="W62" s="16">
        <v>1.4544550000000001</v>
      </c>
      <c r="X62" s="16">
        <v>1.477336</v>
      </c>
      <c r="Y62" s="16">
        <v>1.500958</v>
      </c>
      <c r="Z62" s="16">
        <v>1.5246569999999999</v>
      </c>
      <c r="AA62" s="16">
        <v>1.54897</v>
      </c>
      <c r="AB62" s="16">
        <v>1.5736619999999999</v>
      </c>
      <c r="AC62" s="16">
        <v>1.5982369999999999</v>
      </c>
      <c r="AD62" s="16">
        <v>1.6240319999999999</v>
      </c>
      <c r="AE62" s="16">
        <v>1.6495089999999999</v>
      </c>
      <c r="AF62" s="16">
        <v>1.6756850000000001</v>
      </c>
      <c r="AG62" s="16">
        <v>1.7023889999999999</v>
      </c>
      <c r="AH62" s="16">
        <v>1.7298279999999999</v>
      </c>
      <c r="AI62" s="16">
        <v>1.7564869999999999</v>
      </c>
      <c r="AJ62" s="16">
        <v>1.7836339999999999</v>
      </c>
      <c r="AK62" s="16">
        <v>1.811639</v>
      </c>
      <c r="AL62" s="13">
        <v>1.5734999999999999E-2</v>
      </c>
    </row>
    <row r="63" spans="1:38" ht="15" customHeight="1" x14ac:dyDescent="0.25">
      <c r="A63" s="7" t="s">
        <v>715</v>
      </c>
      <c r="B63" s="11" t="s">
        <v>716</v>
      </c>
      <c r="C63" s="16">
        <v>4.8499999999999996</v>
      </c>
      <c r="D63" s="16">
        <v>4.401491</v>
      </c>
      <c r="E63" s="16">
        <v>4.2152079999999996</v>
      </c>
      <c r="F63" s="16">
        <v>4.0498830000000003</v>
      </c>
      <c r="G63" s="16">
        <v>4.1086489999999998</v>
      </c>
      <c r="H63" s="16">
        <v>4.2142689999999998</v>
      </c>
      <c r="I63" s="16">
        <v>4.2117680000000002</v>
      </c>
      <c r="J63" s="16">
        <v>4.2890030000000001</v>
      </c>
      <c r="K63" s="16">
        <v>4.3937099999999996</v>
      </c>
      <c r="L63" s="16">
        <v>4.576606</v>
      </c>
      <c r="M63" s="16">
        <v>4.6591459999999998</v>
      </c>
      <c r="N63" s="16">
        <v>4.670585</v>
      </c>
      <c r="O63" s="16">
        <v>4.6763649999999997</v>
      </c>
      <c r="P63" s="16">
        <v>4.6848179999999999</v>
      </c>
      <c r="Q63" s="16">
        <v>4.697654</v>
      </c>
      <c r="R63" s="16">
        <v>4.6555220000000004</v>
      </c>
      <c r="S63" s="16">
        <v>4.6390940000000001</v>
      </c>
      <c r="T63" s="16">
        <v>4.6597790000000003</v>
      </c>
      <c r="U63" s="16">
        <v>4.6547689999999999</v>
      </c>
      <c r="V63" s="16">
        <v>4.6583170000000003</v>
      </c>
      <c r="W63" s="16">
        <v>4.6325099999999999</v>
      </c>
      <c r="X63" s="16">
        <v>4.6659930000000003</v>
      </c>
      <c r="Y63" s="16">
        <v>4.7311569999999996</v>
      </c>
      <c r="Z63" s="16">
        <v>4.7399769999999997</v>
      </c>
      <c r="AA63" s="16">
        <v>4.7274719999999997</v>
      </c>
      <c r="AB63" s="16">
        <v>4.7211679999999996</v>
      </c>
      <c r="AC63" s="16">
        <v>4.6880740000000003</v>
      </c>
      <c r="AD63" s="16">
        <v>4.6691909999999996</v>
      </c>
      <c r="AE63" s="16">
        <v>4.6593359999999997</v>
      </c>
      <c r="AF63" s="16">
        <v>4.661257</v>
      </c>
      <c r="AG63" s="16">
        <v>4.6826879999999997</v>
      </c>
      <c r="AH63" s="16">
        <v>4.6613769999999999</v>
      </c>
      <c r="AI63" s="16">
        <v>4.6694449999999996</v>
      </c>
      <c r="AJ63" s="16">
        <v>4.6995509999999996</v>
      </c>
      <c r="AK63" s="16">
        <v>4.6838870000000004</v>
      </c>
      <c r="AL63" s="13" t="s">
        <v>9</v>
      </c>
    </row>
    <row r="66" spans="1:38" ht="15" customHeight="1" x14ac:dyDescent="0.25">
      <c r="B66" s="10" t="s">
        <v>717</v>
      </c>
    </row>
    <row r="67" spans="1:38" ht="15" customHeight="1" x14ac:dyDescent="0.25">
      <c r="A67" s="7" t="s">
        <v>718</v>
      </c>
      <c r="B67" s="11" t="s">
        <v>719</v>
      </c>
      <c r="C67" s="12">
        <v>12608.724609000001</v>
      </c>
      <c r="D67" s="12">
        <v>12826.360352</v>
      </c>
      <c r="E67" s="12">
        <v>13263.567383</v>
      </c>
      <c r="F67" s="12">
        <v>13705.212890999999</v>
      </c>
      <c r="G67" s="12">
        <v>14027.037109000001</v>
      </c>
      <c r="H67" s="12">
        <v>14391.997069999999</v>
      </c>
      <c r="I67" s="12">
        <v>14742.209961</v>
      </c>
      <c r="J67" s="12">
        <v>15038.955078000001</v>
      </c>
      <c r="K67" s="12">
        <v>15369.525390999999</v>
      </c>
      <c r="L67" s="12">
        <v>15705.759765999999</v>
      </c>
      <c r="M67" s="12">
        <v>16062.969727</v>
      </c>
      <c r="N67" s="12">
        <v>16446.568359000001</v>
      </c>
      <c r="O67" s="12">
        <v>16869.197265999999</v>
      </c>
      <c r="P67" s="12">
        <v>17292.460938</v>
      </c>
      <c r="Q67" s="12">
        <v>17697.886718999998</v>
      </c>
      <c r="R67" s="12">
        <v>18102.931640999999</v>
      </c>
      <c r="S67" s="12">
        <v>18521.292968999998</v>
      </c>
      <c r="T67" s="12">
        <v>18928.851562</v>
      </c>
      <c r="U67" s="12">
        <v>19336.730468999998</v>
      </c>
      <c r="V67" s="12">
        <v>19746.787109000001</v>
      </c>
      <c r="W67" s="12">
        <v>20157.625</v>
      </c>
      <c r="X67" s="12">
        <v>20567.857422000001</v>
      </c>
      <c r="Y67" s="12">
        <v>20976.777343999998</v>
      </c>
      <c r="Z67" s="12">
        <v>21392.136718999998</v>
      </c>
      <c r="AA67" s="12">
        <v>21822.345702999999</v>
      </c>
      <c r="AB67" s="12">
        <v>22250.015625</v>
      </c>
      <c r="AC67" s="12">
        <v>22685.347656000002</v>
      </c>
      <c r="AD67" s="12">
        <v>23129.677734000001</v>
      </c>
      <c r="AE67" s="12">
        <v>23577.849609000001</v>
      </c>
      <c r="AF67" s="12">
        <v>24034.929688</v>
      </c>
      <c r="AG67" s="12">
        <v>24491.660156000002</v>
      </c>
      <c r="AH67" s="12">
        <v>24952.501952999999</v>
      </c>
      <c r="AI67" s="12">
        <v>25410.009765999999</v>
      </c>
      <c r="AJ67" s="12">
        <v>25860.792968999998</v>
      </c>
      <c r="AK67" s="12">
        <v>26327.908202999999</v>
      </c>
      <c r="AL67" s="13">
        <v>2.2030999999999999E-2</v>
      </c>
    </row>
    <row r="68" spans="1:38" ht="15" customHeight="1" x14ac:dyDescent="0.25">
      <c r="A68" s="7" t="s">
        <v>720</v>
      </c>
      <c r="B68" s="11" t="s">
        <v>721</v>
      </c>
      <c r="C68" s="16">
        <v>1.2585</v>
      </c>
      <c r="D68" s="16">
        <v>1.308346</v>
      </c>
      <c r="E68" s="16">
        <v>1.4361139999999999</v>
      </c>
      <c r="F68" s="16">
        <v>1.4920249999999999</v>
      </c>
      <c r="G68" s="16">
        <v>1.5515589999999999</v>
      </c>
      <c r="H68" s="16">
        <v>1.5914459999999999</v>
      </c>
      <c r="I68" s="16">
        <v>1.628044</v>
      </c>
      <c r="J68" s="16">
        <v>1.6398969999999999</v>
      </c>
      <c r="K68" s="16">
        <v>1.6272439999999999</v>
      </c>
      <c r="L68" s="16">
        <v>1.6128400000000001</v>
      </c>
      <c r="M68" s="16">
        <v>1.6049329999999999</v>
      </c>
      <c r="N68" s="16">
        <v>1.6002209999999999</v>
      </c>
      <c r="O68" s="16">
        <v>1.5758129999999999</v>
      </c>
      <c r="P68" s="16">
        <v>1.589286</v>
      </c>
      <c r="Q68" s="16">
        <v>1.615596</v>
      </c>
      <c r="R68" s="16">
        <v>1.6188009999999999</v>
      </c>
      <c r="S68" s="16">
        <v>1.6011580000000001</v>
      </c>
      <c r="T68" s="16">
        <v>1.6113139999999999</v>
      </c>
      <c r="U68" s="16">
        <v>1.6404890000000001</v>
      </c>
      <c r="V68" s="16">
        <v>1.6735409999999999</v>
      </c>
      <c r="W68" s="16">
        <v>1.681486</v>
      </c>
      <c r="X68" s="16">
        <v>1.6740999999999999</v>
      </c>
      <c r="Y68" s="16">
        <v>1.6543399999999999</v>
      </c>
      <c r="Z68" s="16">
        <v>1.6436280000000001</v>
      </c>
      <c r="AA68" s="16">
        <v>1.6544570000000001</v>
      </c>
      <c r="AB68" s="16">
        <v>1.6607050000000001</v>
      </c>
      <c r="AC68" s="16">
        <v>1.6679060000000001</v>
      </c>
      <c r="AD68" s="16">
        <v>1.6833119999999999</v>
      </c>
      <c r="AE68" s="16">
        <v>1.7065220000000001</v>
      </c>
      <c r="AF68" s="16">
        <v>1.7273309999999999</v>
      </c>
      <c r="AG68" s="16">
        <v>1.7392559999999999</v>
      </c>
      <c r="AH68" s="16">
        <v>1.752786</v>
      </c>
      <c r="AI68" s="16">
        <v>1.751099</v>
      </c>
      <c r="AJ68" s="16">
        <v>1.74532</v>
      </c>
      <c r="AK68" s="16">
        <v>1.751781</v>
      </c>
      <c r="AL68" s="13">
        <v>8.8839999999999995E-3</v>
      </c>
    </row>
    <row r="69" spans="1:38" ht="15" customHeight="1" x14ac:dyDescent="0.25">
      <c r="A69" s="7" t="s">
        <v>722</v>
      </c>
      <c r="B69" s="11" t="s">
        <v>723</v>
      </c>
      <c r="C69" s="64">
        <v>89.743965000000003</v>
      </c>
      <c r="D69" s="64">
        <v>90.694137999999995</v>
      </c>
      <c r="E69" s="64">
        <v>91.707504</v>
      </c>
      <c r="F69" s="64">
        <v>92.783385999999993</v>
      </c>
      <c r="G69" s="64">
        <v>93.862076000000002</v>
      </c>
      <c r="H69" s="64">
        <v>94.940558999999993</v>
      </c>
      <c r="I69" s="64">
        <v>96.007194999999996</v>
      </c>
      <c r="J69" s="64">
        <v>97.058914000000001</v>
      </c>
      <c r="K69" s="64">
        <v>98.085991000000007</v>
      </c>
      <c r="L69" s="64">
        <v>99.103133999999997</v>
      </c>
      <c r="M69" s="64">
        <v>100.130493</v>
      </c>
      <c r="N69" s="64">
        <v>101.173225</v>
      </c>
      <c r="O69" s="64">
        <v>102.232803</v>
      </c>
      <c r="P69" s="64">
        <v>103.30542</v>
      </c>
      <c r="Q69" s="64">
        <v>104.386314</v>
      </c>
      <c r="R69" s="64">
        <v>105.479118</v>
      </c>
      <c r="S69" s="64">
        <v>106.574715</v>
      </c>
      <c r="T69" s="64">
        <v>107.66803</v>
      </c>
      <c r="U69" s="64">
        <v>108.75432600000001</v>
      </c>
      <c r="V69" s="64">
        <v>109.826843</v>
      </c>
      <c r="W69" s="64">
        <v>110.891953</v>
      </c>
      <c r="X69" s="64">
        <v>111.947289</v>
      </c>
      <c r="Y69" s="64">
        <v>113.000771</v>
      </c>
      <c r="Z69" s="64">
        <v>114.057106</v>
      </c>
      <c r="AA69" s="64">
        <v>115.12515999999999</v>
      </c>
      <c r="AB69" s="64">
        <v>116.199242</v>
      </c>
      <c r="AC69" s="64">
        <v>117.279579</v>
      </c>
      <c r="AD69" s="64">
        <v>118.363983</v>
      </c>
      <c r="AE69" s="64">
        <v>119.45188899999999</v>
      </c>
      <c r="AF69" s="64">
        <v>120.545486</v>
      </c>
      <c r="AG69" s="64">
        <v>121.64516399999999</v>
      </c>
      <c r="AH69" s="64">
        <v>122.75351000000001</v>
      </c>
      <c r="AI69" s="64">
        <v>123.86660000000001</v>
      </c>
      <c r="AJ69" s="64">
        <v>124.978386</v>
      </c>
      <c r="AK69" s="64">
        <v>126.088852</v>
      </c>
      <c r="AL69" s="13">
        <v>1.0035000000000001E-2</v>
      </c>
    </row>
    <row r="70" spans="1:38" ht="15" customHeight="1" x14ac:dyDescent="0.25">
      <c r="A70" s="7" t="s">
        <v>724</v>
      </c>
      <c r="B70" s="11" t="s">
        <v>725</v>
      </c>
      <c r="C70" s="16">
        <v>17.464914</v>
      </c>
      <c r="D70" s="16">
        <v>17.089668</v>
      </c>
      <c r="E70" s="16">
        <v>17.08886</v>
      </c>
      <c r="F70" s="16">
        <v>17.059799000000002</v>
      </c>
      <c r="G70" s="16">
        <v>16.991425</v>
      </c>
      <c r="H70" s="16">
        <v>16.598316000000001</v>
      </c>
      <c r="I70" s="16">
        <v>16.622537999999999</v>
      </c>
      <c r="J70" s="16">
        <v>16.759982999999998</v>
      </c>
      <c r="K70" s="16">
        <v>16.805264999999999</v>
      </c>
      <c r="L70" s="16">
        <v>16.877856999999999</v>
      </c>
      <c r="M70" s="16">
        <v>17.033224000000001</v>
      </c>
      <c r="N70" s="16">
        <v>17.110320999999999</v>
      </c>
      <c r="O70" s="16">
        <v>17.251785000000002</v>
      </c>
      <c r="P70" s="16">
        <v>17.303169</v>
      </c>
      <c r="Q70" s="16">
        <v>17.409555000000001</v>
      </c>
      <c r="R70" s="16">
        <v>17.470037000000001</v>
      </c>
      <c r="S70" s="16">
        <v>17.417252000000001</v>
      </c>
      <c r="T70" s="16">
        <v>17.36393</v>
      </c>
      <c r="U70" s="16">
        <v>17.420314999999999</v>
      </c>
      <c r="V70" s="16">
        <v>17.470312</v>
      </c>
      <c r="W70" s="16">
        <v>17.539131000000001</v>
      </c>
      <c r="X70" s="16">
        <v>17.589846000000001</v>
      </c>
      <c r="Y70" s="16">
        <v>17.737064</v>
      </c>
      <c r="Z70" s="16">
        <v>17.903981999999999</v>
      </c>
      <c r="AA70" s="16">
        <v>18.021516999999999</v>
      </c>
      <c r="AB70" s="16">
        <v>18.169577</v>
      </c>
      <c r="AC70" s="16">
        <v>18.276095999999999</v>
      </c>
      <c r="AD70" s="16">
        <v>18.448055</v>
      </c>
      <c r="AE70" s="16">
        <v>18.656625999999999</v>
      </c>
      <c r="AF70" s="16">
        <v>18.855892000000001</v>
      </c>
      <c r="AG70" s="16">
        <v>19.030075</v>
      </c>
      <c r="AH70" s="16">
        <v>19.164145000000001</v>
      </c>
      <c r="AI70" s="16">
        <v>19.142326000000001</v>
      </c>
      <c r="AJ70" s="16">
        <v>19.325026999999999</v>
      </c>
      <c r="AK70" s="16">
        <v>19.491872999999998</v>
      </c>
      <c r="AL70" s="13">
        <v>3.9940000000000002E-3</v>
      </c>
    </row>
    <row r="71" spans="1:38" ht="15" customHeight="1" thickBot="1" x14ac:dyDescent="0.3"/>
    <row r="72" spans="1:38" ht="15" customHeight="1" x14ac:dyDescent="0.25">
      <c r="B72" s="369" t="s">
        <v>726</v>
      </c>
      <c r="C72" s="369"/>
      <c r="D72" s="369"/>
      <c r="E72" s="369"/>
      <c r="F72" s="369"/>
      <c r="G72" s="369"/>
      <c r="H72" s="369"/>
      <c r="I72" s="369"/>
      <c r="J72" s="369"/>
      <c r="K72" s="369"/>
      <c r="L72" s="369"/>
      <c r="M72" s="369"/>
      <c r="N72" s="369"/>
      <c r="O72" s="369"/>
      <c r="P72" s="369"/>
      <c r="Q72" s="369"/>
      <c r="R72" s="369"/>
      <c r="S72" s="369"/>
      <c r="T72" s="369"/>
      <c r="U72" s="369"/>
      <c r="V72" s="369"/>
      <c r="W72" s="369"/>
      <c r="X72" s="369"/>
      <c r="Y72" s="369"/>
      <c r="Z72" s="369"/>
      <c r="AA72" s="369"/>
      <c r="AB72" s="369"/>
      <c r="AC72" s="369"/>
      <c r="AD72" s="369"/>
      <c r="AE72" s="369"/>
      <c r="AF72" s="369"/>
      <c r="AG72" s="369"/>
      <c r="AH72" s="369"/>
      <c r="AI72" s="369"/>
      <c r="AJ72" s="369"/>
      <c r="AK72" s="369"/>
      <c r="AL72" s="369"/>
    </row>
    <row r="73" spans="1:38" ht="15" customHeight="1" x14ac:dyDescent="0.25">
      <c r="B73" s="18" t="s">
        <v>192</v>
      </c>
    </row>
    <row r="74" spans="1:38" ht="15" customHeight="1" x14ac:dyDescent="0.25">
      <c r="B74" s="18" t="s">
        <v>193</v>
      </c>
    </row>
    <row r="75" spans="1:38" ht="15" customHeight="1" x14ac:dyDescent="0.25">
      <c r="B75" s="18" t="s">
        <v>1749</v>
      </c>
    </row>
    <row r="76" spans="1:38" ht="15" customHeight="1" x14ac:dyDescent="0.25">
      <c r="B76" s="18" t="s">
        <v>1750</v>
      </c>
    </row>
    <row r="77" spans="1:38" ht="15" customHeight="1" x14ac:dyDescent="0.25">
      <c r="B77" t="s">
        <v>1751</v>
      </c>
    </row>
  </sheetData>
  <mergeCells count="1">
    <mergeCell ref="B72:AL7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tint="0.79998168889431442"/>
  </sheetPr>
  <dimension ref="A1:AL65"/>
  <sheetViews>
    <sheetView topLeftCell="B16" workbookViewId="0">
      <selection activeCell="B27" sqref="A1:AL65"/>
    </sheetView>
  </sheetViews>
  <sheetFormatPr defaultRowHeight="15" x14ac:dyDescent="0.25"/>
  <cols>
    <col min="1" max="1" width="20.85546875" hidden="1" customWidth="1"/>
    <col min="2" max="2" width="45.7109375"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473</v>
      </c>
      <c r="B10" s="8" t="s">
        <v>474</v>
      </c>
    </row>
    <row r="11" spans="1:38" ht="15" customHeight="1" x14ac:dyDescent="0.25">
      <c r="B11" s="4" t="s">
        <v>17</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475</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A15" s="7" t="s">
        <v>476</v>
      </c>
      <c r="B15" s="10" t="s">
        <v>477</v>
      </c>
      <c r="C15" s="14">
        <v>16716.150390999999</v>
      </c>
      <c r="D15" s="14">
        <v>17074.880859000001</v>
      </c>
      <c r="E15" s="14">
        <v>17501.398438</v>
      </c>
      <c r="F15" s="14">
        <v>17928.921875</v>
      </c>
      <c r="G15" s="14">
        <v>18334.908202999999</v>
      </c>
      <c r="H15" s="14">
        <v>18719.169922000001</v>
      </c>
      <c r="I15" s="14">
        <v>19122.580077999999</v>
      </c>
      <c r="J15" s="14">
        <v>19495.443359000001</v>
      </c>
      <c r="K15" s="14">
        <v>19852.296875</v>
      </c>
      <c r="L15" s="14">
        <v>20220.681640999999</v>
      </c>
      <c r="M15" s="14">
        <v>20609.1875</v>
      </c>
      <c r="N15" s="14">
        <v>21038.792968999998</v>
      </c>
      <c r="O15" s="14">
        <v>21493.265625</v>
      </c>
      <c r="P15" s="14">
        <v>21953.880859000001</v>
      </c>
      <c r="Q15" s="14">
        <v>22420.908202999999</v>
      </c>
      <c r="R15" s="14">
        <v>22896.136718999998</v>
      </c>
      <c r="S15" s="14">
        <v>23368.679688</v>
      </c>
      <c r="T15" s="14">
        <v>23833.414062</v>
      </c>
      <c r="U15" s="14">
        <v>24314.869140999999</v>
      </c>
      <c r="V15" s="14">
        <v>24801.535156000002</v>
      </c>
      <c r="W15" s="14">
        <v>25298.800781000002</v>
      </c>
      <c r="X15" s="14">
        <v>25795.578125</v>
      </c>
      <c r="Y15" s="14">
        <v>26290.097656000002</v>
      </c>
      <c r="Z15" s="14">
        <v>26809.546875</v>
      </c>
      <c r="AA15" s="14">
        <v>27355.546875</v>
      </c>
      <c r="AB15" s="14">
        <v>27910.398438</v>
      </c>
      <c r="AC15" s="14">
        <v>28471.345702999999</v>
      </c>
      <c r="AD15" s="14">
        <v>29052.351562</v>
      </c>
      <c r="AE15" s="14">
        <v>29626.009765999999</v>
      </c>
      <c r="AF15" s="14">
        <v>30204.054688</v>
      </c>
      <c r="AG15" s="14">
        <v>30785.289062</v>
      </c>
      <c r="AH15" s="14">
        <v>31403.539062</v>
      </c>
      <c r="AI15" s="14">
        <v>31998.242188</v>
      </c>
      <c r="AJ15" s="14">
        <v>32583.679688</v>
      </c>
      <c r="AK15" s="14">
        <v>33204.808594000002</v>
      </c>
      <c r="AL15" s="15">
        <v>2.0358999999999999E-2</v>
      </c>
    </row>
    <row r="17" spans="1:38" ht="15" customHeight="1" x14ac:dyDescent="0.25">
      <c r="A17" s="7" t="s">
        <v>478</v>
      </c>
      <c r="B17" s="10" t="s">
        <v>479</v>
      </c>
      <c r="C17" s="14">
        <v>144.24588</v>
      </c>
      <c r="D17" s="14">
        <v>145.559372</v>
      </c>
      <c r="E17" s="14">
        <v>147.382126</v>
      </c>
      <c r="F17" s="14">
        <v>149.109848</v>
      </c>
      <c r="G17" s="14">
        <v>150.59345999999999</v>
      </c>
      <c r="H17" s="14">
        <v>151.788589</v>
      </c>
      <c r="I17" s="14">
        <v>153.14975000000001</v>
      </c>
      <c r="J17" s="14">
        <v>154.20230100000001</v>
      </c>
      <c r="K17" s="14">
        <v>155.07093800000001</v>
      </c>
      <c r="L17" s="14">
        <v>155.72846999999999</v>
      </c>
      <c r="M17" s="14">
        <v>156.51234400000001</v>
      </c>
      <c r="N17" s="14">
        <v>157.47511299999999</v>
      </c>
      <c r="O17" s="14">
        <v>158.586792</v>
      </c>
      <c r="P17" s="14">
        <v>159.78439299999999</v>
      </c>
      <c r="Q17" s="14">
        <v>161.05355800000001</v>
      </c>
      <c r="R17" s="14">
        <v>162.17176799999999</v>
      </c>
      <c r="S17" s="14">
        <v>163.317001</v>
      </c>
      <c r="T17" s="14">
        <v>164.36102299999999</v>
      </c>
      <c r="U17" s="14">
        <v>165.43100000000001</v>
      </c>
      <c r="V17" s="14">
        <v>166.44703699999999</v>
      </c>
      <c r="W17" s="14">
        <v>167.494812</v>
      </c>
      <c r="X17" s="14">
        <v>168.47799699999999</v>
      </c>
      <c r="Y17" s="14">
        <v>169.35354599999999</v>
      </c>
      <c r="Z17" s="14">
        <v>170.330963</v>
      </c>
      <c r="AA17" s="14">
        <v>171.53341699999999</v>
      </c>
      <c r="AB17" s="14">
        <v>172.52255199999999</v>
      </c>
      <c r="AC17" s="14">
        <v>173.66018700000001</v>
      </c>
      <c r="AD17" s="14">
        <v>174.77879300000001</v>
      </c>
      <c r="AE17" s="14">
        <v>175.85346999999999</v>
      </c>
      <c r="AF17" s="14">
        <v>176.87124600000001</v>
      </c>
      <c r="AG17" s="14">
        <v>177.81970200000001</v>
      </c>
      <c r="AH17" s="14">
        <v>178.86573799999999</v>
      </c>
      <c r="AI17" s="14">
        <v>179.830139</v>
      </c>
      <c r="AJ17" s="14">
        <v>180.702957</v>
      </c>
      <c r="AK17" s="14">
        <v>181.73080400000001</v>
      </c>
      <c r="AL17" s="15">
        <v>6.7479999999999997E-3</v>
      </c>
    </row>
    <row r="19" spans="1:38" ht="15" customHeight="1" x14ac:dyDescent="0.25">
      <c r="B19" s="10" t="s">
        <v>0</v>
      </c>
    </row>
    <row r="21" spans="1:38" ht="15" customHeight="1" x14ac:dyDescent="0.25">
      <c r="B21" s="10" t="s">
        <v>480</v>
      </c>
    </row>
    <row r="22" spans="1:38" ht="15" customHeight="1" x14ac:dyDescent="0.25">
      <c r="A22" s="7" t="s">
        <v>481</v>
      </c>
      <c r="B22" s="11" t="s">
        <v>482</v>
      </c>
      <c r="C22" s="12">
        <v>365.63494900000001</v>
      </c>
      <c r="D22" s="12">
        <v>374.53005999999999</v>
      </c>
      <c r="E22" s="12">
        <v>365.66299400000003</v>
      </c>
      <c r="F22" s="12">
        <v>373.99432400000001</v>
      </c>
      <c r="G22" s="12">
        <v>381.346069</v>
      </c>
      <c r="H22" s="12">
        <v>387.94464099999999</v>
      </c>
      <c r="I22" s="12">
        <v>394.65920999999997</v>
      </c>
      <c r="J22" s="12">
        <v>400.76147500000002</v>
      </c>
      <c r="K22" s="12">
        <v>406.38324</v>
      </c>
      <c r="L22" s="12">
        <v>410.82455399999998</v>
      </c>
      <c r="M22" s="12">
        <v>416.25119000000001</v>
      </c>
      <c r="N22" s="12">
        <v>422.32611100000003</v>
      </c>
      <c r="O22" s="12">
        <v>425.85821499999997</v>
      </c>
      <c r="P22" s="12">
        <v>429.308899</v>
      </c>
      <c r="Q22" s="12">
        <v>432.77780200000001</v>
      </c>
      <c r="R22" s="12">
        <v>436.96163899999999</v>
      </c>
      <c r="S22" s="12">
        <v>440.73770100000002</v>
      </c>
      <c r="T22" s="12">
        <v>444.40042099999999</v>
      </c>
      <c r="U22" s="12">
        <v>447.658478</v>
      </c>
      <c r="V22" s="12">
        <v>450.79391500000003</v>
      </c>
      <c r="W22" s="12">
        <v>454.17169200000001</v>
      </c>
      <c r="X22" s="12">
        <v>457.35797100000002</v>
      </c>
      <c r="Y22" s="12">
        <v>460.67474399999998</v>
      </c>
      <c r="Z22" s="12">
        <v>464.43331899999998</v>
      </c>
      <c r="AA22" s="12">
        <v>468.37469499999997</v>
      </c>
      <c r="AB22" s="12">
        <v>472.41146900000001</v>
      </c>
      <c r="AC22" s="12">
        <v>476.80847199999999</v>
      </c>
      <c r="AD22" s="12">
        <v>480.88668799999999</v>
      </c>
      <c r="AE22" s="12">
        <v>484.66308600000002</v>
      </c>
      <c r="AF22" s="12">
        <v>488.01760899999999</v>
      </c>
      <c r="AG22" s="12">
        <v>491.22119099999998</v>
      </c>
      <c r="AH22" s="12">
        <v>494.93728599999997</v>
      </c>
      <c r="AI22" s="12">
        <v>498.74328600000001</v>
      </c>
      <c r="AJ22" s="12">
        <v>502.39709499999998</v>
      </c>
      <c r="AK22" s="12">
        <v>506.22198500000002</v>
      </c>
      <c r="AL22" s="13">
        <v>9.1719999999999996E-3</v>
      </c>
    </row>
    <row r="23" spans="1:38" ht="15" customHeight="1" x14ac:dyDescent="0.25">
      <c r="A23" s="7" t="s">
        <v>483</v>
      </c>
      <c r="B23" s="11" t="s">
        <v>484</v>
      </c>
      <c r="C23" s="12">
        <v>445.33630399999998</v>
      </c>
      <c r="D23" s="12">
        <v>447.78884900000003</v>
      </c>
      <c r="E23" s="12">
        <v>478.71499599999999</v>
      </c>
      <c r="F23" s="12">
        <v>504.56323200000003</v>
      </c>
      <c r="G23" s="12">
        <v>521.26000999999997</v>
      </c>
      <c r="H23" s="12">
        <v>529.56597899999997</v>
      </c>
      <c r="I23" s="12">
        <v>537.11242700000003</v>
      </c>
      <c r="J23" s="12">
        <v>543.77600099999995</v>
      </c>
      <c r="K23" s="12">
        <v>553.60199</v>
      </c>
      <c r="L23" s="12">
        <v>559.13775599999997</v>
      </c>
      <c r="M23" s="12">
        <v>564.441956</v>
      </c>
      <c r="N23" s="12">
        <v>571.25421100000005</v>
      </c>
      <c r="O23" s="12">
        <v>577.18670699999996</v>
      </c>
      <c r="P23" s="12">
        <v>581.131348</v>
      </c>
      <c r="Q23" s="12">
        <v>584.203979</v>
      </c>
      <c r="R23" s="12">
        <v>587.93335000000002</v>
      </c>
      <c r="S23" s="12">
        <v>589.49420199999997</v>
      </c>
      <c r="T23" s="12">
        <v>591.24957300000005</v>
      </c>
      <c r="U23" s="12">
        <v>595.18774399999995</v>
      </c>
      <c r="V23" s="12">
        <v>598.21227999999996</v>
      </c>
      <c r="W23" s="12">
        <v>601.13555899999994</v>
      </c>
      <c r="X23" s="12">
        <v>606.65704300000004</v>
      </c>
      <c r="Y23" s="12">
        <v>607.317993</v>
      </c>
      <c r="Z23" s="12">
        <v>611.53594999999996</v>
      </c>
      <c r="AA23" s="12">
        <v>617.11389199999996</v>
      </c>
      <c r="AB23" s="12">
        <v>621.016479</v>
      </c>
      <c r="AC23" s="12">
        <v>624.24377400000003</v>
      </c>
      <c r="AD23" s="12">
        <v>626.96118200000001</v>
      </c>
      <c r="AE23" s="12">
        <v>629.58496100000002</v>
      </c>
      <c r="AF23" s="12">
        <v>628.88207999999997</v>
      </c>
      <c r="AG23" s="12">
        <v>630.80761700000005</v>
      </c>
      <c r="AH23" s="12">
        <v>634.26519800000005</v>
      </c>
      <c r="AI23" s="12">
        <v>635.51269500000001</v>
      </c>
      <c r="AJ23" s="12">
        <v>637.793091</v>
      </c>
      <c r="AK23" s="12">
        <v>641.40625</v>
      </c>
      <c r="AL23" s="13">
        <v>1.0949E-2</v>
      </c>
    </row>
    <row r="24" spans="1:38" ht="15" customHeight="1" x14ac:dyDescent="0.25">
      <c r="A24" s="7" t="s">
        <v>485</v>
      </c>
      <c r="B24" s="11" t="s">
        <v>486</v>
      </c>
      <c r="C24" s="12">
        <v>1234.609009</v>
      </c>
      <c r="D24" s="12">
        <v>1208.526001</v>
      </c>
      <c r="E24" s="12">
        <v>1307.6979980000001</v>
      </c>
      <c r="F24" s="12">
        <v>1340.230957</v>
      </c>
      <c r="G24" s="12">
        <v>1366.6529539999999</v>
      </c>
      <c r="H24" s="12">
        <v>1396.545044</v>
      </c>
      <c r="I24" s="12">
        <v>1418.19397</v>
      </c>
      <c r="J24" s="12">
        <v>1434.4959719999999</v>
      </c>
      <c r="K24" s="12">
        <v>1457.5279539999999</v>
      </c>
      <c r="L24" s="12">
        <v>1480.5069579999999</v>
      </c>
      <c r="M24" s="12">
        <v>1500.2330320000001</v>
      </c>
      <c r="N24" s="12">
        <v>1514.9189449999999</v>
      </c>
      <c r="O24" s="12">
        <v>1542.1929929999999</v>
      </c>
      <c r="P24" s="12">
        <v>1563.1920170000001</v>
      </c>
      <c r="Q24" s="12">
        <v>1586.5119629999999</v>
      </c>
      <c r="R24" s="12">
        <v>1612.3220209999999</v>
      </c>
      <c r="S24" s="12">
        <v>1629.7540280000001</v>
      </c>
      <c r="T24" s="12">
        <v>1643.223999</v>
      </c>
      <c r="U24" s="12">
        <v>1668.9329829999999</v>
      </c>
      <c r="V24" s="12">
        <v>1695.4189449999999</v>
      </c>
      <c r="W24" s="12">
        <v>1718.969971</v>
      </c>
      <c r="X24" s="12">
        <v>1742.7020259999999</v>
      </c>
      <c r="Y24" s="12">
        <v>1769.6739500000001</v>
      </c>
      <c r="Z24" s="12">
        <v>1791.0629879999999</v>
      </c>
      <c r="AA24" s="12">
        <v>1819.2769780000001</v>
      </c>
      <c r="AB24" s="12">
        <v>1851.23999</v>
      </c>
      <c r="AC24" s="12">
        <v>1874.6719969999999</v>
      </c>
      <c r="AD24" s="12">
        <v>1903.737061</v>
      </c>
      <c r="AE24" s="12">
        <v>1935.3079829999999</v>
      </c>
      <c r="AF24" s="12">
        <v>1965.411987</v>
      </c>
      <c r="AG24" s="12">
        <v>2000.3360600000001</v>
      </c>
      <c r="AH24" s="12">
        <v>2033.7650149999999</v>
      </c>
      <c r="AI24" s="12">
        <v>2063.306885</v>
      </c>
      <c r="AJ24" s="12">
        <v>2088.2370609999998</v>
      </c>
      <c r="AK24" s="12">
        <v>2117.4860840000001</v>
      </c>
      <c r="AL24" s="13">
        <v>1.7139999999999999E-2</v>
      </c>
    </row>
    <row r="26" spans="1:38" ht="15" customHeight="1" x14ac:dyDescent="0.25">
      <c r="B26" s="10" t="s">
        <v>487</v>
      </c>
    </row>
    <row r="27" spans="1:38" ht="15" customHeight="1" x14ac:dyDescent="0.25">
      <c r="A27" s="7" t="s">
        <v>488</v>
      </c>
      <c r="B27" s="11" t="s">
        <v>489</v>
      </c>
      <c r="C27" s="12">
        <v>716.22607400000004</v>
      </c>
      <c r="D27" s="12">
        <v>729.36108400000001</v>
      </c>
      <c r="E27" s="12">
        <v>732.97210700000005</v>
      </c>
      <c r="F27" s="12">
        <v>742.71350099999995</v>
      </c>
      <c r="G27" s="12">
        <v>753.35180700000001</v>
      </c>
      <c r="H27" s="12">
        <v>767.06579599999998</v>
      </c>
      <c r="I27" s="12">
        <v>782.08270300000004</v>
      </c>
      <c r="J27" s="12">
        <v>796.31091300000003</v>
      </c>
      <c r="K27" s="12">
        <v>810.91107199999999</v>
      </c>
      <c r="L27" s="12">
        <v>825.19628899999998</v>
      </c>
      <c r="M27" s="12">
        <v>839.26641800000004</v>
      </c>
      <c r="N27" s="12">
        <v>853.85162400000002</v>
      </c>
      <c r="O27" s="12">
        <v>867.75067100000001</v>
      </c>
      <c r="P27" s="12">
        <v>883.20752000000005</v>
      </c>
      <c r="Q27" s="12">
        <v>898.85931400000004</v>
      </c>
      <c r="R27" s="12">
        <v>914.64837599999998</v>
      </c>
      <c r="S27" s="12">
        <v>930.35168499999997</v>
      </c>
      <c r="T27" s="12">
        <v>946.76690699999995</v>
      </c>
      <c r="U27" s="12">
        <v>963.92767300000003</v>
      </c>
      <c r="V27" s="12">
        <v>981.88067599999999</v>
      </c>
      <c r="W27" s="12">
        <v>1000.6060179999999</v>
      </c>
      <c r="X27" s="12">
        <v>1019.174011</v>
      </c>
      <c r="Y27" s="12">
        <v>1037.8270259999999</v>
      </c>
      <c r="Z27" s="12">
        <v>1057.426025</v>
      </c>
      <c r="AA27" s="12">
        <v>1076.4229740000001</v>
      </c>
      <c r="AB27" s="12">
        <v>1094.8050539999999</v>
      </c>
      <c r="AC27" s="12">
        <v>1113.536987</v>
      </c>
      <c r="AD27" s="12">
        <v>1132.8480219999999</v>
      </c>
      <c r="AE27" s="12">
        <v>1152.8139650000001</v>
      </c>
      <c r="AF27" s="12">
        <v>1173.0529790000001</v>
      </c>
      <c r="AG27" s="12">
        <v>1193.5150149999999</v>
      </c>
      <c r="AH27" s="12">
        <v>1214.625</v>
      </c>
      <c r="AI27" s="12">
        <v>1236.426025</v>
      </c>
      <c r="AJ27" s="12">
        <v>1258.9229740000001</v>
      </c>
      <c r="AK27" s="12">
        <v>1281.974976</v>
      </c>
      <c r="AL27" s="13">
        <v>1.7236999999999999E-2</v>
      </c>
    </row>
    <row r="28" spans="1:38" ht="15" customHeight="1" x14ac:dyDescent="0.25">
      <c r="A28" s="7" t="s">
        <v>490</v>
      </c>
      <c r="B28" s="11" t="s">
        <v>491</v>
      </c>
      <c r="C28" s="12">
        <v>157.95109600000001</v>
      </c>
      <c r="D28" s="12">
        <v>153.863495</v>
      </c>
      <c r="E28" s="12">
        <v>150.10279800000001</v>
      </c>
      <c r="F28" s="12">
        <v>150.35940600000001</v>
      </c>
      <c r="G28" s="12">
        <v>150.6147</v>
      </c>
      <c r="H28" s="12">
        <v>151.02299500000001</v>
      </c>
      <c r="I28" s="12">
        <v>151.356796</v>
      </c>
      <c r="J28" s="12">
        <v>151.538803</v>
      </c>
      <c r="K28" s="12">
        <v>151.699905</v>
      </c>
      <c r="L28" s="12">
        <v>151.75439499999999</v>
      </c>
      <c r="M28" s="12">
        <v>151.51010099999999</v>
      </c>
      <c r="N28" s="12">
        <v>151.308899</v>
      </c>
      <c r="O28" s="12">
        <v>151.86199999999999</v>
      </c>
      <c r="P28" s="12">
        <v>153.038895</v>
      </c>
      <c r="Q28" s="12">
        <v>154.48959400000001</v>
      </c>
      <c r="R28" s="12">
        <v>155.66760300000001</v>
      </c>
      <c r="S28" s="12">
        <v>157.04080200000001</v>
      </c>
      <c r="T28" s="12">
        <v>158.504898</v>
      </c>
      <c r="U28" s="12">
        <v>160.19340500000001</v>
      </c>
      <c r="V28" s="12">
        <v>161.970596</v>
      </c>
      <c r="W28" s="12">
        <v>163.07560699999999</v>
      </c>
      <c r="X28" s="12">
        <v>163.94099399999999</v>
      </c>
      <c r="Y28" s="12">
        <v>164.81300400000001</v>
      </c>
      <c r="Z28" s="12">
        <v>165.42529300000001</v>
      </c>
      <c r="AA28" s="12">
        <v>165.97659300000001</v>
      </c>
      <c r="AB28" s="12">
        <v>166.31860399999999</v>
      </c>
      <c r="AC28" s="12">
        <v>166.35690299999999</v>
      </c>
      <c r="AD28" s="12">
        <v>166.449005</v>
      </c>
      <c r="AE28" s="12">
        <v>166.484802</v>
      </c>
      <c r="AF28" s="12">
        <v>166.53050200000001</v>
      </c>
      <c r="AG28" s="12">
        <v>166.57620199999999</v>
      </c>
      <c r="AH28" s="12">
        <v>166.64039600000001</v>
      </c>
      <c r="AI28" s="12">
        <v>166.641998</v>
      </c>
      <c r="AJ28" s="12">
        <v>166.59880100000001</v>
      </c>
      <c r="AK28" s="12">
        <v>166.55029300000001</v>
      </c>
      <c r="AL28" s="13">
        <v>2.4039999999999999E-3</v>
      </c>
    </row>
    <row r="29" spans="1:38" ht="15" customHeight="1" x14ac:dyDescent="0.25">
      <c r="A29" s="7" t="s">
        <v>492</v>
      </c>
      <c r="B29" s="11" t="s">
        <v>493</v>
      </c>
      <c r="C29" s="12">
        <v>75.720962999999998</v>
      </c>
      <c r="D29" s="12">
        <v>73.616211000000007</v>
      </c>
      <c r="E29" s="12">
        <v>70.207413000000003</v>
      </c>
      <c r="F29" s="12">
        <v>67.998420999999993</v>
      </c>
      <c r="G29" s="12">
        <v>67.160117999999997</v>
      </c>
      <c r="H29" s="12">
        <v>65.958922999999999</v>
      </c>
      <c r="I29" s="12">
        <v>65.161986999999996</v>
      </c>
      <c r="J29" s="12">
        <v>64.133697999999995</v>
      </c>
      <c r="K29" s="12">
        <v>62.911751000000002</v>
      </c>
      <c r="L29" s="12">
        <v>61.569198999999998</v>
      </c>
      <c r="M29" s="12">
        <v>59.981892000000002</v>
      </c>
      <c r="N29" s="12">
        <v>58.783648999999997</v>
      </c>
      <c r="O29" s="12">
        <v>57.537762000000001</v>
      </c>
      <c r="P29" s="12">
        <v>56.490200000000002</v>
      </c>
      <c r="Q29" s="12">
        <v>55.536011000000002</v>
      </c>
      <c r="R29" s="12">
        <v>54.511318000000003</v>
      </c>
      <c r="S29" s="12">
        <v>53.516520999999997</v>
      </c>
      <c r="T29" s="12">
        <v>52.478881999999999</v>
      </c>
      <c r="U29" s="12">
        <v>51.508918999999999</v>
      </c>
      <c r="V29" s="12">
        <v>50.648220000000002</v>
      </c>
      <c r="W29" s="12">
        <v>49.769610999999998</v>
      </c>
      <c r="X29" s="12">
        <v>48.589210999999999</v>
      </c>
      <c r="Y29" s="12">
        <v>47.620468000000002</v>
      </c>
      <c r="Z29" s="12">
        <v>46.529029999999999</v>
      </c>
      <c r="AA29" s="12">
        <v>45.582199000000003</v>
      </c>
      <c r="AB29" s="12">
        <v>44.601089000000002</v>
      </c>
      <c r="AC29" s="12">
        <v>43.544528999999997</v>
      </c>
      <c r="AD29" s="12">
        <v>42.623699000000002</v>
      </c>
      <c r="AE29" s="12">
        <v>41.585917999999999</v>
      </c>
      <c r="AF29" s="12">
        <v>40.579151000000003</v>
      </c>
      <c r="AG29" s="12">
        <v>39.598370000000003</v>
      </c>
      <c r="AH29" s="12">
        <v>38.696800000000003</v>
      </c>
      <c r="AI29" s="12">
        <v>37.663688999999998</v>
      </c>
      <c r="AJ29" s="12">
        <v>36.599411000000003</v>
      </c>
      <c r="AK29" s="12">
        <v>35.612628999999998</v>
      </c>
      <c r="AL29" s="13">
        <v>-2.1765E-2</v>
      </c>
    </row>
    <row r="30" spans="1:38" ht="15" customHeight="1" x14ac:dyDescent="0.25">
      <c r="A30" s="7" t="s">
        <v>494</v>
      </c>
      <c r="B30" s="11" t="s">
        <v>495</v>
      </c>
      <c r="C30" s="12">
        <v>82.920852999999994</v>
      </c>
      <c r="D30" s="12">
        <v>85.422752000000003</v>
      </c>
      <c r="E30" s="12">
        <v>87.316322</v>
      </c>
      <c r="F30" s="12">
        <v>89.879799000000006</v>
      </c>
      <c r="G30" s="12">
        <v>90.647368999999998</v>
      </c>
      <c r="H30" s="12">
        <v>91.621758</v>
      </c>
      <c r="I30" s="12">
        <v>93.307563999999999</v>
      </c>
      <c r="J30" s="12">
        <v>94.895172000000002</v>
      </c>
      <c r="K30" s="12">
        <v>96.408821000000003</v>
      </c>
      <c r="L30" s="12">
        <v>97.127052000000006</v>
      </c>
      <c r="M30" s="12">
        <v>98.077781999999999</v>
      </c>
      <c r="N30" s="12">
        <v>99.078209000000001</v>
      </c>
      <c r="O30" s="12">
        <v>100.769897</v>
      </c>
      <c r="P30" s="12">
        <v>102.13220200000001</v>
      </c>
      <c r="Q30" s="12">
        <v>105.759102</v>
      </c>
      <c r="R30" s="12">
        <v>108.371696</v>
      </c>
      <c r="S30" s="12">
        <v>110.410301</v>
      </c>
      <c r="T30" s="12">
        <v>112.01979799999999</v>
      </c>
      <c r="U30" s="12">
        <v>115.31559799999999</v>
      </c>
      <c r="V30" s="12">
        <v>118.564301</v>
      </c>
      <c r="W30" s="12">
        <v>120.96550000000001</v>
      </c>
      <c r="X30" s="12">
        <v>122.578796</v>
      </c>
      <c r="Y30" s="12">
        <v>124.793098</v>
      </c>
      <c r="Z30" s="12">
        <v>126.120003</v>
      </c>
      <c r="AA30" s="12">
        <v>128.69349700000001</v>
      </c>
      <c r="AB30" s="12">
        <v>132.37480199999999</v>
      </c>
      <c r="AC30" s="12">
        <v>135.50079299999999</v>
      </c>
      <c r="AD30" s="12">
        <v>137.50680500000001</v>
      </c>
      <c r="AE30" s="12">
        <v>140.32650799999999</v>
      </c>
      <c r="AF30" s="12">
        <v>142.36979700000001</v>
      </c>
      <c r="AG30" s="12">
        <v>144.6362</v>
      </c>
      <c r="AH30" s="12">
        <v>146.46459999999999</v>
      </c>
      <c r="AI30" s="12">
        <v>147.08419799999999</v>
      </c>
      <c r="AJ30" s="12">
        <v>146.93159499999999</v>
      </c>
      <c r="AK30" s="12">
        <v>147.683594</v>
      </c>
      <c r="AL30" s="13">
        <v>1.6728E-2</v>
      </c>
    </row>
    <row r="31" spans="1:38" ht="15" customHeight="1" x14ac:dyDescent="0.25">
      <c r="A31" s="7" t="s">
        <v>496</v>
      </c>
      <c r="B31" s="11" t="s">
        <v>497</v>
      </c>
      <c r="C31" s="12">
        <v>69.388428000000005</v>
      </c>
      <c r="D31" s="12">
        <v>71.523323000000005</v>
      </c>
      <c r="E31" s="12">
        <v>73.349052</v>
      </c>
      <c r="F31" s="12">
        <v>74.823013000000003</v>
      </c>
      <c r="G31" s="12">
        <v>75.440849</v>
      </c>
      <c r="H31" s="12">
        <v>76.032448000000002</v>
      </c>
      <c r="I31" s="12">
        <v>77.566260999999997</v>
      </c>
      <c r="J31" s="12">
        <v>78.906211999999996</v>
      </c>
      <c r="K31" s="12">
        <v>79.900161999999995</v>
      </c>
      <c r="L31" s="12">
        <v>80.241577000000007</v>
      </c>
      <c r="M31" s="12">
        <v>81.190117000000001</v>
      </c>
      <c r="N31" s="12">
        <v>82.703461000000004</v>
      </c>
      <c r="O31" s="12">
        <v>84.211830000000006</v>
      </c>
      <c r="P31" s="12">
        <v>85.291038999999998</v>
      </c>
      <c r="Q31" s="12">
        <v>86.183052000000004</v>
      </c>
      <c r="R31" s="12">
        <v>87.642287999999994</v>
      </c>
      <c r="S31" s="12">
        <v>89.110512</v>
      </c>
      <c r="T31" s="12">
        <v>90.083511000000001</v>
      </c>
      <c r="U31" s="12">
        <v>91.107117000000002</v>
      </c>
      <c r="V31" s="12">
        <v>92.418426999999994</v>
      </c>
      <c r="W31" s="12">
        <v>93.975600999999997</v>
      </c>
      <c r="X31" s="12">
        <v>95.372580999999997</v>
      </c>
      <c r="Y31" s="12">
        <v>96.372917000000001</v>
      </c>
      <c r="Z31" s="12">
        <v>97.546806000000004</v>
      </c>
      <c r="AA31" s="12">
        <v>98.847351000000003</v>
      </c>
      <c r="AB31" s="12">
        <v>100.176498</v>
      </c>
      <c r="AC31" s="12">
        <v>102.013603</v>
      </c>
      <c r="AD31" s="12">
        <v>103.897598</v>
      </c>
      <c r="AE31" s="12">
        <v>105.54450199999999</v>
      </c>
      <c r="AF31" s="12">
        <v>107.089996</v>
      </c>
      <c r="AG31" s="12">
        <v>108.594902</v>
      </c>
      <c r="AH31" s="12">
        <v>110.6241</v>
      </c>
      <c r="AI31" s="12">
        <v>112.650002</v>
      </c>
      <c r="AJ31" s="12">
        <v>114.591599</v>
      </c>
      <c r="AK31" s="12">
        <v>116.823502</v>
      </c>
      <c r="AL31" s="13">
        <v>1.4978999999999999E-2</v>
      </c>
    </row>
    <row r="32" spans="1:38" ht="15" customHeight="1" x14ac:dyDescent="0.25">
      <c r="A32" s="7" t="s">
        <v>498</v>
      </c>
      <c r="B32" s="11" t="s">
        <v>499</v>
      </c>
      <c r="C32" s="12">
        <v>163.385696</v>
      </c>
      <c r="D32" s="12">
        <v>173.46670499999999</v>
      </c>
      <c r="E32" s="12">
        <v>163.72979699999999</v>
      </c>
      <c r="F32" s="12">
        <v>164.47479200000001</v>
      </c>
      <c r="G32" s="12">
        <v>165.91619900000001</v>
      </c>
      <c r="H32" s="12">
        <v>167.63540599999999</v>
      </c>
      <c r="I32" s="12">
        <v>169.13630699999999</v>
      </c>
      <c r="J32" s="12">
        <v>170.11700400000001</v>
      </c>
      <c r="K32" s="12">
        <v>170.849503</v>
      </c>
      <c r="L32" s="12">
        <v>171.09429900000001</v>
      </c>
      <c r="M32" s="12">
        <v>171.74070699999999</v>
      </c>
      <c r="N32" s="12">
        <v>172.69880699999999</v>
      </c>
      <c r="O32" s="12">
        <v>173.56210300000001</v>
      </c>
      <c r="P32" s="12">
        <v>174.46629300000001</v>
      </c>
      <c r="Q32" s="12">
        <v>175.40119899999999</v>
      </c>
      <c r="R32" s="12">
        <v>176.71099899999999</v>
      </c>
      <c r="S32" s="12">
        <v>178.00990300000001</v>
      </c>
      <c r="T32" s="12">
        <v>179.26679999999999</v>
      </c>
      <c r="U32" s="12">
        <v>180.817001</v>
      </c>
      <c r="V32" s="12">
        <v>182.393204</v>
      </c>
      <c r="W32" s="12">
        <v>184.46719400000001</v>
      </c>
      <c r="X32" s="12">
        <v>186.30529799999999</v>
      </c>
      <c r="Y32" s="12">
        <v>188.199997</v>
      </c>
      <c r="Z32" s="12">
        <v>190.59779399999999</v>
      </c>
      <c r="AA32" s="12">
        <v>192.89370700000001</v>
      </c>
      <c r="AB32" s="12">
        <v>195.25900300000001</v>
      </c>
      <c r="AC32" s="12">
        <v>197.77119400000001</v>
      </c>
      <c r="AD32" s="12">
        <v>200.120407</v>
      </c>
      <c r="AE32" s="12">
        <v>202.231201</v>
      </c>
      <c r="AF32" s="12">
        <v>204.29310599999999</v>
      </c>
      <c r="AG32" s="12">
        <v>206.14269999999999</v>
      </c>
      <c r="AH32" s="12">
        <v>208.458496</v>
      </c>
      <c r="AI32" s="12">
        <v>210.6362</v>
      </c>
      <c r="AJ32" s="12">
        <v>212.723602</v>
      </c>
      <c r="AK32" s="12">
        <v>214.89430200000001</v>
      </c>
      <c r="AL32" s="13">
        <v>6.5110000000000003E-3</v>
      </c>
    </row>
    <row r="33" spans="1:38" ht="15" customHeight="1" x14ac:dyDescent="0.25">
      <c r="A33" s="7" t="s">
        <v>500</v>
      </c>
      <c r="B33" s="11" t="s">
        <v>501</v>
      </c>
      <c r="C33" s="12">
        <v>85.010429000000002</v>
      </c>
      <c r="D33" s="12">
        <v>86.039412999999996</v>
      </c>
      <c r="E33" s="12">
        <v>82.878326000000001</v>
      </c>
      <c r="F33" s="12">
        <v>81.503281000000001</v>
      </c>
      <c r="G33" s="12">
        <v>80.874947000000006</v>
      </c>
      <c r="H33" s="12">
        <v>80.703086999999996</v>
      </c>
      <c r="I33" s="12">
        <v>80.730277999999998</v>
      </c>
      <c r="J33" s="12">
        <v>80.844688000000005</v>
      </c>
      <c r="K33" s="12">
        <v>81.026413000000005</v>
      </c>
      <c r="L33" s="12">
        <v>81.160583000000003</v>
      </c>
      <c r="M33" s="12">
        <v>81.172188000000006</v>
      </c>
      <c r="N33" s="12">
        <v>81.238853000000006</v>
      </c>
      <c r="O33" s="12">
        <v>81.408752000000007</v>
      </c>
      <c r="P33" s="12">
        <v>81.707024000000004</v>
      </c>
      <c r="Q33" s="12">
        <v>82.008262999999999</v>
      </c>
      <c r="R33" s="12">
        <v>82.333618000000001</v>
      </c>
      <c r="S33" s="12">
        <v>82.654212999999999</v>
      </c>
      <c r="T33" s="12">
        <v>83.019867000000005</v>
      </c>
      <c r="U33" s="12">
        <v>83.447433000000004</v>
      </c>
      <c r="V33" s="12">
        <v>83.942222999999998</v>
      </c>
      <c r="W33" s="12">
        <v>84.491141999999996</v>
      </c>
      <c r="X33" s="12">
        <v>85.023955999999998</v>
      </c>
      <c r="Y33" s="12">
        <v>85.666297999999998</v>
      </c>
      <c r="Z33" s="12">
        <v>86.362601999999995</v>
      </c>
      <c r="AA33" s="12">
        <v>87.000846999999993</v>
      </c>
      <c r="AB33" s="12">
        <v>87.581367</v>
      </c>
      <c r="AC33" s="12">
        <v>88.165038999999993</v>
      </c>
      <c r="AD33" s="12">
        <v>88.805779000000001</v>
      </c>
      <c r="AE33" s="12">
        <v>89.453850000000003</v>
      </c>
      <c r="AF33" s="12">
        <v>90.112572</v>
      </c>
      <c r="AG33" s="12">
        <v>90.752662999999998</v>
      </c>
      <c r="AH33" s="12">
        <v>91.405608999999998</v>
      </c>
      <c r="AI33" s="12">
        <v>92.094291999999996</v>
      </c>
      <c r="AJ33" s="12">
        <v>92.804946999999999</v>
      </c>
      <c r="AK33" s="12">
        <v>93.523696999999999</v>
      </c>
      <c r="AL33" s="13">
        <v>2.5309999999999998E-3</v>
      </c>
    </row>
    <row r="34" spans="1:38" ht="15" customHeight="1" x14ac:dyDescent="0.25">
      <c r="A34" s="7" t="s">
        <v>502</v>
      </c>
      <c r="B34" s="11" t="s">
        <v>503</v>
      </c>
      <c r="C34" s="12">
        <v>738.442139</v>
      </c>
      <c r="D34" s="12">
        <v>803.55371100000002</v>
      </c>
      <c r="E34" s="12">
        <v>802.74670400000002</v>
      </c>
      <c r="F34" s="12">
        <v>839.78405799999996</v>
      </c>
      <c r="G34" s="12">
        <v>867.66125499999998</v>
      </c>
      <c r="H34" s="12">
        <v>890.29394500000001</v>
      </c>
      <c r="I34" s="12">
        <v>913.12841800000001</v>
      </c>
      <c r="J34" s="12">
        <v>940.557861</v>
      </c>
      <c r="K34" s="12">
        <v>970.60156199999994</v>
      </c>
      <c r="L34" s="12">
        <v>985.84545900000001</v>
      </c>
      <c r="M34" s="12">
        <v>998.68963599999995</v>
      </c>
      <c r="N34" s="12">
        <v>1017.501953</v>
      </c>
      <c r="O34" s="12">
        <v>1035.4438479999999</v>
      </c>
      <c r="P34" s="12">
        <v>1055.459961</v>
      </c>
      <c r="Q34" s="12">
        <v>1075.1605219999999</v>
      </c>
      <c r="R34" s="12">
        <v>1093.732178</v>
      </c>
      <c r="S34" s="12">
        <v>1108.303467</v>
      </c>
      <c r="T34" s="12">
        <v>1126.009644</v>
      </c>
      <c r="U34" s="12">
        <v>1139.437866</v>
      </c>
      <c r="V34" s="12">
        <v>1152.3896480000001</v>
      </c>
      <c r="W34" s="12">
        <v>1167.116943</v>
      </c>
      <c r="X34" s="12">
        <v>1186.6385499999999</v>
      </c>
      <c r="Y34" s="12">
        <v>1210.7459719999999</v>
      </c>
      <c r="Z34" s="12">
        <v>1228.6489260000001</v>
      </c>
      <c r="AA34" s="12">
        <v>1244.9835210000001</v>
      </c>
      <c r="AB34" s="12">
        <v>1263.46875</v>
      </c>
      <c r="AC34" s="12">
        <v>1275.9528809999999</v>
      </c>
      <c r="AD34" s="12">
        <v>1289.3314210000001</v>
      </c>
      <c r="AE34" s="12">
        <v>1303.2595209999999</v>
      </c>
      <c r="AF34" s="12">
        <v>1319.959961</v>
      </c>
      <c r="AG34" s="12">
        <v>1332.6713870000001</v>
      </c>
      <c r="AH34" s="12">
        <v>1347.5970460000001</v>
      </c>
      <c r="AI34" s="12">
        <v>1362.7124020000001</v>
      </c>
      <c r="AJ34" s="12">
        <v>1377.8671879999999</v>
      </c>
      <c r="AK34" s="12">
        <v>1394.571533</v>
      </c>
      <c r="AL34" s="13">
        <v>1.6846E-2</v>
      </c>
    </row>
    <row r="35" spans="1:38" ht="15" customHeight="1" x14ac:dyDescent="0.25">
      <c r="A35" s="7" t="s">
        <v>504</v>
      </c>
      <c r="B35" s="11" t="s">
        <v>505</v>
      </c>
      <c r="C35" s="12">
        <v>379.18359400000003</v>
      </c>
      <c r="D35" s="12">
        <v>416.51821899999999</v>
      </c>
      <c r="E35" s="12">
        <v>438.62899800000002</v>
      </c>
      <c r="F35" s="12">
        <v>472.422729</v>
      </c>
      <c r="G35" s="12">
        <v>495.76916499999999</v>
      </c>
      <c r="H35" s="12">
        <v>512.02203399999996</v>
      </c>
      <c r="I35" s="12">
        <v>527.81701699999996</v>
      </c>
      <c r="J35" s="12">
        <v>546.79461700000002</v>
      </c>
      <c r="K35" s="12">
        <v>567.57195999999999</v>
      </c>
      <c r="L35" s="12">
        <v>578.01946999999996</v>
      </c>
      <c r="M35" s="12">
        <v>585.83563200000003</v>
      </c>
      <c r="N35" s="12">
        <v>596.54461700000002</v>
      </c>
      <c r="O35" s="12">
        <v>609.62432899999999</v>
      </c>
      <c r="P35" s="12">
        <v>620.60192900000004</v>
      </c>
      <c r="Q35" s="12">
        <v>629.87908900000002</v>
      </c>
      <c r="R35" s="12">
        <v>638.25598100000002</v>
      </c>
      <c r="S35" s="12">
        <v>643.37359600000002</v>
      </c>
      <c r="T35" s="12">
        <v>651.66735800000004</v>
      </c>
      <c r="U35" s="12">
        <v>655.26672399999995</v>
      </c>
      <c r="V35" s="12">
        <v>658.39996299999996</v>
      </c>
      <c r="W35" s="12">
        <v>663.12994400000002</v>
      </c>
      <c r="X35" s="12">
        <v>670.29742399999998</v>
      </c>
      <c r="Y35" s="12">
        <v>681.37725799999998</v>
      </c>
      <c r="Z35" s="12">
        <v>685.29089399999998</v>
      </c>
      <c r="AA35" s="12">
        <v>687.69311500000003</v>
      </c>
      <c r="AB35" s="12">
        <v>691.66461200000003</v>
      </c>
      <c r="AC35" s="12">
        <v>692.67999299999997</v>
      </c>
      <c r="AD35" s="12">
        <v>694.75500499999998</v>
      </c>
      <c r="AE35" s="12">
        <v>697.05969200000004</v>
      </c>
      <c r="AF35" s="12">
        <v>699.72222899999997</v>
      </c>
      <c r="AG35" s="12">
        <v>701.03649900000005</v>
      </c>
      <c r="AH35" s="12">
        <v>703.83917199999996</v>
      </c>
      <c r="AI35" s="12">
        <v>706.40252699999996</v>
      </c>
      <c r="AJ35" s="12">
        <v>708.55505400000004</v>
      </c>
      <c r="AK35" s="12">
        <v>711.59448199999997</v>
      </c>
      <c r="AL35" s="13">
        <v>1.6362000000000002E-2</v>
      </c>
    </row>
    <row r="36" spans="1:38" ht="15" customHeight="1" x14ac:dyDescent="0.25">
      <c r="A36" s="7" t="s">
        <v>506</v>
      </c>
      <c r="B36" s="11" t="s">
        <v>507</v>
      </c>
      <c r="C36" s="12">
        <v>43.530189999999997</v>
      </c>
      <c r="D36" s="12">
        <v>44.468089999999997</v>
      </c>
      <c r="E36" s="12">
        <v>44.603209999999997</v>
      </c>
      <c r="F36" s="12">
        <v>45.141128999999999</v>
      </c>
      <c r="G36" s="12">
        <v>45.506228999999998</v>
      </c>
      <c r="H36" s="12">
        <v>46.149559000000004</v>
      </c>
      <c r="I36" s="12">
        <v>46.910389000000002</v>
      </c>
      <c r="J36" s="12">
        <v>47.770080999999998</v>
      </c>
      <c r="K36" s="12">
        <v>48.669848999999999</v>
      </c>
      <c r="L36" s="12">
        <v>49.536830999999999</v>
      </c>
      <c r="M36" s="12">
        <v>50.274689000000002</v>
      </c>
      <c r="N36" s="12">
        <v>51.033360000000002</v>
      </c>
      <c r="O36" s="12">
        <v>51.377949000000001</v>
      </c>
      <c r="P36" s="12">
        <v>51.618980000000001</v>
      </c>
      <c r="Q36" s="12">
        <v>51.649090000000001</v>
      </c>
      <c r="R36" s="12">
        <v>51.530121000000001</v>
      </c>
      <c r="S36" s="12">
        <v>51.291229000000001</v>
      </c>
      <c r="T36" s="12">
        <v>50.997020999999997</v>
      </c>
      <c r="U36" s="12">
        <v>50.743960999999999</v>
      </c>
      <c r="V36" s="12">
        <v>50.492828000000003</v>
      </c>
      <c r="W36" s="12">
        <v>50.227161000000002</v>
      </c>
      <c r="X36" s="12">
        <v>49.920318999999999</v>
      </c>
      <c r="Y36" s="12">
        <v>49.593711999999996</v>
      </c>
      <c r="Z36" s="12">
        <v>49.205249999999999</v>
      </c>
      <c r="AA36" s="12">
        <v>48.784511999999999</v>
      </c>
      <c r="AB36" s="12">
        <v>48.333370000000002</v>
      </c>
      <c r="AC36" s="12">
        <v>47.801890999999998</v>
      </c>
      <c r="AD36" s="12">
        <v>47.303260999999999</v>
      </c>
      <c r="AE36" s="12">
        <v>46.821891999999998</v>
      </c>
      <c r="AF36" s="12">
        <v>46.315849</v>
      </c>
      <c r="AG36" s="12">
        <v>45.782958999999998</v>
      </c>
      <c r="AH36" s="12">
        <v>45.245368999999997</v>
      </c>
      <c r="AI36" s="12">
        <v>44.678322000000001</v>
      </c>
      <c r="AJ36" s="12">
        <v>44.087349000000003</v>
      </c>
      <c r="AK36" s="12">
        <v>43.484810000000003</v>
      </c>
      <c r="AL36" s="13">
        <v>-6.7699999999999998E-4</v>
      </c>
    </row>
    <row r="37" spans="1:38" ht="15" customHeight="1" x14ac:dyDescent="0.25">
      <c r="A37" s="7" t="s">
        <v>508</v>
      </c>
      <c r="B37" s="11" t="s">
        <v>509</v>
      </c>
      <c r="C37" s="12">
        <v>198.689896</v>
      </c>
      <c r="D37" s="12">
        <v>223.574997</v>
      </c>
      <c r="E37" s="12">
        <v>240.44349700000001</v>
      </c>
      <c r="F37" s="12">
        <v>260.23840300000001</v>
      </c>
      <c r="G37" s="12">
        <v>271.62829599999998</v>
      </c>
      <c r="H37" s="12">
        <v>278.87991299999999</v>
      </c>
      <c r="I37" s="12">
        <v>287.58840900000001</v>
      </c>
      <c r="J37" s="12">
        <v>299.95480300000003</v>
      </c>
      <c r="K37" s="12">
        <v>314.75030500000003</v>
      </c>
      <c r="L37" s="12">
        <v>319.97228999999999</v>
      </c>
      <c r="M37" s="12">
        <v>323.01489299999997</v>
      </c>
      <c r="N37" s="12">
        <v>328.85119600000002</v>
      </c>
      <c r="O37" s="12">
        <v>337.93908699999997</v>
      </c>
      <c r="P37" s="12">
        <v>345.579407</v>
      </c>
      <c r="Q37" s="12">
        <v>351.95169099999998</v>
      </c>
      <c r="R37" s="12">
        <v>357.26660199999998</v>
      </c>
      <c r="S37" s="12">
        <v>359.91220099999998</v>
      </c>
      <c r="T37" s="12">
        <v>366.817993</v>
      </c>
      <c r="U37" s="12">
        <v>368.92379799999998</v>
      </c>
      <c r="V37" s="12">
        <v>371.23880000000003</v>
      </c>
      <c r="W37" s="12">
        <v>375.865906</v>
      </c>
      <c r="X37" s="12">
        <v>381.78698700000001</v>
      </c>
      <c r="Y37" s="12">
        <v>391.64370700000001</v>
      </c>
      <c r="Z37" s="12">
        <v>396.10879499999999</v>
      </c>
      <c r="AA37" s="12">
        <v>399.755402</v>
      </c>
      <c r="AB37" s="12">
        <v>405.36261000000002</v>
      </c>
      <c r="AC37" s="12">
        <v>408.86138899999997</v>
      </c>
      <c r="AD37" s="12">
        <v>412.555206</v>
      </c>
      <c r="AE37" s="12">
        <v>416.24661300000002</v>
      </c>
      <c r="AF37" s="12">
        <v>420.24121100000002</v>
      </c>
      <c r="AG37" s="12">
        <v>422.86441000000002</v>
      </c>
      <c r="AH37" s="12">
        <v>426.99310300000002</v>
      </c>
      <c r="AI37" s="12">
        <v>431.05938700000002</v>
      </c>
      <c r="AJ37" s="12">
        <v>434.608093</v>
      </c>
      <c r="AK37" s="12">
        <v>438.98611499999998</v>
      </c>
      <c r="AL37" s="13">
        <v>2.0656999999999998E-2</v>
      </c>
    </row>
    <row r="38" spans="1:38" ht="15" customHeight="1" x14ac:dyDescent="0.25">
      <c r="A38" s="7" t="s">
        <v>510</v>
      </c>
      <c r="B38" s="11" t="s">
        <v>511</v>
      </c>
      <c r="C38" s="12">
        <v>93.247703999999999</v>
      </c>
      <c r="D38" s="12">
        <v>101.001701</v>
      </c>
      <c r="E38" s="12">
        <v>104.367897</v>
      </c>
      <c r="F38" s="12">
        <v>114.89360000000001</v>
      </c>
      <c r="G38" s="12">
        <v>125.63780199999999</v>
      </c>
      <c r="H38" s="12">
        <v>133.77220199999999</v>
      </c>
      <c r="I38" s="12">
        <v>139.777603</v>
      </c>
      <c r="J38" s="12">
        <v>144.92089799999999</v>
      </c>
      <c r="K38" s="12">
        <v>149.42619300000001</v>
      </c>
      <c r="L38" s="12">
        <v>153.32650799999999</v>
      </c>
      <c r="M38" s="12">
        <v>156.99749800000001</v>
      </c>
      <c r="N38" s="12">
        <v>160.825897</v>
      </c>
      <c r="O38" s="12">
        <v>164.34240700000001</v>
      </c>
      <c r="P38" s="12">
        <v>167.43699599999999</v>
      </c>
      <c r="Q38" s="12">
        <v>170.47250399999999</v>
      </c>
      <c r="R38" s="12">
        <v>173.508408</v>
      </c>
      <c r="S38" s="12">
        <v>176.025406</v>
      </c>
      <c r="T38" s="12">
        <v>177.571899</v>
      </c>
      <c r="U38" s="12">
        <v>179.054306</v>
      </c>
      <c r="V38" s="12">
        <v>179.863495</v>
      </c>
      <c r="W38" s="12">
        <v>179.95779400000001</v>
      </c>
      <c r="X38" s="12">
        <v>181.26660200000001</v>
      </c>
      <c r="Y38" s="12">
        <v>182.52470400000001</v>
      </c>
      <c r="Z38" s="12">
        <v>182.18919399999999</v>
      </c>
      <c r="AA38" s="12">
        <v>181.283997</v>
      </c>
      <c r="AB38" s="12">
        <v>180.01179500000001</v>
      </c>
      <c r="AC38" s="12">
        <v>177.995193</v>
      </c>
      <c r="AD38" s="12">
        <v>176.747803</v>
      </c>
      <c r="AE38" s="12">
        <v>175.64979600000001</v>
      </c>
      <c r="AF38" s="12">
        <v>174.662094</v>
      </c>
      <c r="AG38" s="12">
        <v>173.74350000000001</v>
      </c>
      <c r="AH38" s="12">
        <v>172.72610499999999</v>
      </c>
      <c r="AI38" s="12">
        <v>171.51629600000001</v>
      </c>
      <c r="AJ38" s="12">
        <v>170.38389599999999</v>
      </c>
      <c r="AK38" s="12">
        <v>169.358902</v>
      </c>
      <c r="AL38" s="13">
        <v>1.5786000000000001E-2</v>
      </c>
    </row>
    <row r="39" spans="1:38" ht="15" customHeight="1" x14ac:dyDescent="0.25">
      <c r="A39" s="7" t="s">
        <v>512</v>
      </c>
      <c r="B39" s="11" t="s">
        <v>513</v>
      </c>
      <c r="C39" s="12">
        <v>43.715800999999999</v>
      </c>
      <c r="D39" s="12">
        <v>47.473419</v>
      </c>
      <c r="E39" s="12">
        <v>49.214409000000003</v>
      </c>
      <c r="F39" s="12">
        <v>52.149600999999997</v>
      </c>
      <c r="G39" s="12">
        <v>52.996830000000003</v>
      </c>
      <c r="H39" s="12">
        <v>53.220329</v>
      </c>
      <c r="I39" s="12">
        <v>53.540610999999998</v>
      </c>
      <c r="J39" s="12">
        <v>54.148860999999997</v>
      </c>
      <c r="K39" s="12">
        <v>54.725589999999997</v>
      </c>
      <c r="L39" s="12">
        <v>55.18383</v>
      </c>
      <c r="M39" s="12">
        <v>55.548512000000002</v>
      </c>
      <c r="N39" s="12">
        <v>55.834170999999998</v>
      </c>
      <c r="O39" s="12">
        <v>55.964882000000003</v>
      </c>
      <c r="P39" s="12">
        <v>55.966549000000001</v>
      </c>
      <c r="Q39" s="12">
        <v>55.805827999999998</v>
      </c>
      <c r="R39" s="12">
        <v>55.950859000000001</v>
      </c>
      <c r="S39" s="12">
        <v>56.144798000000002</v>
      </c>
      <c r="T39" s="12">
        <v>56.280472000000003</v>
      </c>
      <c r="U39" s="12">
        <v>56.544659000000003</v>
      </c>
      <c r="V39" s="12">
        <v>56.804878000000002</v>
      </c>
      <c r="W39" s="12">
        <v>57.079048</v>
      </c>
      <c r="X39" s="12">
        <v>57.323551000000002</v>
      </c>
      <c r="Y39" s="12">
        <v>57.615119999999997</v>
      </c>
      <c r="Z39" s="12">
        <v>57.787650999999997</v>
      </c>
      <c r="AA39" s="12">
        <v>57.869202000000001</v>
      </c>
      <c r="AB39" s="12">
        <v>57.956828999999999</v>
      </c>
      <c r="AC39" s="12">
        <v>58.021549</v>
      </c>
      <c r="AD39" s="12">
        <v>58.148730999999998</v>
      </c>
      <c r="AE39" s="12">
        <v>58.3414</v>
      </c>
      <c r="AF39" s="12">
        <v>58.503078000000002</v>
      </c>
      <c r="AG39" s="12">
        <v>58.645617999999999</v>
      </c>
      <c r="AH39" s="12">
        <v>58.874599000000003</v>
      </c>
      <c r="AI39" s="12">
        <v>59.148510000000002</v>
      </c>
      <c r="AJ39" s="12">
        <v>59.475689000000003</v>
      </c>
      <c r="AK39" s="12">
        <v>59.764628999999999</v>
      </c>
      <c r="AL39" s="13">
        <v>7.0020000000000004E-3</v>
      </c>
    </row>
    <row r="40" spans="1:38" ht="15" customHeight="1" x14ac:dyDescent="0.25">
      <c r="A40" s="7" t="s">
        <v>514</v>
      </c>
      <c r="B40" s="11" t="s">
        <v>515</v>
      </c>
      <c r="C40" s="12">
        <v>359.25851399999999</v>
      </c>
      <c r="D40" s="12">
        <v>387.03549199999998</v>
      </c>
      <c r="E40" s="12">
        <v>364.117706</v>
      </c>
      <c r="F40" s="12">
        <v>367.36129799999998</v>
      </c>
      <c r="G40" s="12">
        <v>371.89209</v>
      </c>
      <c r="H40" s="12">
        <v>378.27191199999999</v>
      </c>
      <c r="I40" s="12">
        <v>385.31140099999999</v>
      </c>
      <c r="J40" s="12">
        <v>393.763214</v>
      </c>
      <c r="K40" s="12">
        <v>403.02960200000001</v>
      </c>
      <c r="L40" s="12">
        <v>407.82598899999999</v>
      </c>
      <c r="M40" s="12">
        <v>412.85400399999997</v>
      </c>
      <c r="N40" s="12">
        <v>420.95730600000002</v>
      </c>
      <c r="O40" s="12">
        <v>425.81948899999998</v>
      </c>
      <c r="P40" s="12">
        <v>434.858002</v>
      </c>
      <c r="Q40" s="12">
        <v>445.28140300000001</v>
      </c>
      <c r="R40" s="12">
        <v>455.47619600000002</v>
      </c>
      <c r="S40" s="12">
        <v>464.92980999999997</v>
      </c>
      <c r="T40" s="12">
        <v>474.342285</v>
      </c>
      <c r="U40" s="12">
        <v>484.17111199999999</v>
      </c>
      <c r="V40" s="12">
        <v>493.98968500000001</v>
      </c>
      <c r="W40" s="12">
        <v>503.98700000000002</v>
      </c>
      <c r="X40" s="12">
        <v>516.34112500000003</v>
      </c>
      <c r="Y40" s="12">
        <v>529.36871299999996</v>
      </c>
      <c r="Z40" s="12">
        <v>543.35809300000005</v>
      </c>
      <c r="AA40" s="12">
        <v>557.29040499999996</v>
      </c>
      <c r="AB40" s="12">
        <v>571.80407700000001</v>
      </c>
      <c r="AC40" s="12">
        <v>583.27282700000001</v>
      </c>
      <c r="AD40" s="12">
        <v>594.57641599999999</v>
      </c>
      <c r="AE40" s="12">
        <v>606.19988999999998</v>
      </c>
      <c r="AF40" s="12">
        <v>620.23767099999998</v>
      </c>
      <c r="AG40" s="12">
        <v>631.63488800000005</v>
      </c>
      <c r="AH40" s="12">
        <v>643.75787400000002</v>
      </c>
      <c r="AI40" s="12">
        <v>656.30987500000003</v>
      </c>
      <c r="AJ40" s="12">
        <v>669.31207300000005</v>
      </c>
      <c r="AK40" s="12">
        <v>682.97699</v>
      </c>
      <c r="AL40" s="13">
        <v>1.7358999999999999E-2</v>
      </c>
    </row>
    <row r="41" spans="1:38" ht="15" customHeight="1" x14ac:dyDescent="0.25">
      <c r="A41" s="7" t="s">
        <v>516</v>
      </c>
      <c r="B41" s="11" t="s">
        <v>517</v>
      </c>
      <c r="C41" s="12">
        <v>508.93994099999998</v>
      </c>
      <c r="D41" s="12">
        <v>509.574005</v>
      </c>
      <c r="E41" s="12">
        <v>520.03607199999999</v>
      </c>
      <c r="F41" s="12">
        <v>549.29583700000001</v>
      </c>
      <c r="G41" s="12">
        <v>539.40850799999998</v>
      </c>
      <c r="H41" s="12">
        <v>534.93066399999998</v>
      </c>
      <c r="I41" s="12">
        <v>534.03680399999996</v>
      </c>
      <c r="J41" s="12">
        <v>530.49255400000004</v>
      </c>
      <c r="K41" s="12">
        <v>526.69281000000001</v>
      </c>
      <c r="L41" s="12">
        <v>524.92938200000003</v>
      </c>
      <c r="M41" s="12">
        <v>524.99255400000004</v>
      </c>
      <c r="N41" s="12">
        <v>522.45068400000002</v>
      </c>
      <c r="O41" s="12">
        <v>520.03832999999997</v>
      </c>
      <c r="P41" s="12">
        <v>518.37622099999999</v>
      </c>
      <c r="Q41" s="12">
        <v>517.43872099999999</v>
      </c>
      <c r="R41" s="12">
        <v>515.794983</v>
      </c>
      <c r="S41" s="12">
        <v>514.92297399999995</v>
      </c>
      <c r="T41" s="12">
        <v>513.61852999999996</v>
      </c>
      <c r="U41" s="12">
        <v>512.15136700000005</v>
      </c>
      <c r="V41" s="12">
        <v>511.26843300000002</v>
      </c>
      <c r="W41" s="12">
        <v>511.25964399999998</v>
      </c>
      <c r="X41" s="12">
        <v>510.01480099999998</v>
      </c>
      <c r="Y41" s="12">
        <v>510.33944700000001</v>
      </c>
      <c r="Z41" s="12">
        <v>509.17919899999998</v>
      </c>
      <c r="AA41" s="12">
        <v>509.268799</v>
      </c>
      <c r="AB41" s="12">
        <v>508.76162699999998</v>
      </c>
      <c r="AC41" s="12">
        <v>508.92758199999997</v>
      </c>
      <c r="AD41" s="12">
        <v>509.72988900000001</v>
      </c>
      <c r="AE41" s="12">
        <v>510.78283699999997</v>
      </c>
      <c r="AF41" s="12">
        <v>511.325806</v>
      </c>
      <c r="AG41" s="12">
        <v>512.24694799999997</v>
      </c>
      <c r="AH41" s="12">
        <v>513.46704099999999</v>
      </c>
      <c r="AI41" s="12">
        <v>514.89257799999996</v>
      </c>
      <c r="AJ41" s="12">
        <v>515.64324999999997</v>
      </c>
      <c r="AK41" s="12">
        <v>516.52429199999995</v>
      </c>
      <c r="AL41" s="13">
        <v>4.1100000000000002E-4</v>
      </c>
    </row>
    <row r="42" spans="1:38" ht="15" customHeight="1" x14ac:dyDescent="0.25">
      <c r="A42" s="7" t="s">
        <v>518</v>
      </c>
      <c r="B42" s="11" t="s">
        <v>519</v>
      </c>
      <c r="C42" s="12">
        <v>473.079407</v>
      </c>
      <c r="D42" s="12">
        <v>473.079407</v>
      </c>
      <c r="E42" s="12">
        <v>482.26049799999998</v>
      </c>
      <c r="F42" s="12">
        <v>510.45980800000001</v>
      </c>
      <c r="G42" s="12">
        <v>499.76400799999999</v>
      </c>
      <c r="H42" s="12">
        <v>494.70721400000002</v>
      </c>
      <c r="I42" s="12">
        <v>493.31970200000001</v>
      </c>
      <c r="J42" s="12">
        <v>489.35479700000002</v>
      </c>
      <c r="K42" s="12">
        <v>485.12829599999998</v>
      </c>
      <c r="L42" s="12">
        <v>482.97769199999999</v>
      </c>
      <c r="M42" s="12">
        <v>482.78939800000001</v>
      </c>
      <c r="N42" s="12">
        <v>479.89318800000001</v>
      </c>
      <c r="O42" s="12">
        <v>477.20471199999997</v>
      </c>
      <c r="P42" s="12">
        <v>475.17941300000001</v>
      </c>
      <c r="Q42" s="12">
        <v>473.87521400000003</v>
      </c>
      <c r="R42" s="12">
        <v>471.950897</v>
      </c>
      <c r="S42" s="12">
        <v>470.83041400000002</v>
      </c>
      <c r="T42" s="12">
        <v>469.36248799999998</v>
      </c>
      <c r="U42" s="12">
        <v>467.79129</v>
      </c>
      <c r="V42" s="12">
        <v>466.83209199999999</v>
      </c>
      <c r="W42" s="12">
        <v>467.26589999999999</v>
      </c>
      <c r="X42" s="12">
        <v>466.698914</v>
      </c>
      <c r="Y42" s="12">
        <v>467.78628500000002</v>
      </c>
      <c r="Z42" s="12">
        <v>467.50518799999998</v>
      </c>
      <c r="AA42" s="12">
        <v>468.52499399999999</v>
      </c>
      <c r="AB42" s="12">
        <v>469.00589000000002</v>
      </c>
      <c r="AC42" s="12">
        <v>470.27328499999999</v>
      </c>
      <c r="AD42" s="12">
        <v>472.23519900000002</v>
      </c>
      <c r="AE42" s="12">
        <v>474.320312</v>
      </c>
      <c r="AF42" s="12">
        <v>475.89709499999998</v>
      </c>
      <c r="AG42" s="12">
        <v>478.06289700000002</v>
      </c>
      <c r="AH42" s="12">
        <v>480.60760499999998</v>
      </c>
      <c r="AI42" s="12">
        <v>483.5</v>
      </c>
      <c r="AJ42" s="12">
        <v>485.85730000000001</v>
      </c>
      <c r="AK42" s="12">
        <v>488.43319700000001</v>
      </c>
      <c r="AL42" s="13">
        <v>9.68E-4</v>
      </c>
    </row>
    <row r="43" spans="1:38" ht="15" customHeight="1" x14ac:dyDescent="0.25">
      <c r="A43" s="7" t="s">
        <v>520</v>
      </c>
      <c r="B43" s="11" t="s">
        <v>521</v>
      </c>
      <c r="C43" s="12">
        <v>35.860537999999998</v>
      </c>
      <c r="D43" s="12">
        <v>36.494591</v>
      </c>
      <c r="E43" s="12">
        <v>37.775551</v>
      </c>
      <c r="F43" s="12">
        <v>38.836039999999997</v>
      </c>
      <c r="G43" s="12">
        <v>39.644489</v>
      </c>
      <c r="H43" s="12">
        <v>40.223430999999998</v>
      </c>
      <c r="I43" s="12">
        <v>40.717091000000003</v>
      </c>
      <c r="J43" s="12">
        <v>41.137771999999998</v>
      </c>
      <c r="K43" s="12">
        <v>41.564498999999998</v>
      </c>
      <c r="L43" s="12">
        <v>41.951698</v>
      </c>
      <c r="M43" s="12">
        <v>42.203170999999998</v>
      </c>
      <c r="N43" s="12">
        <v>42.557490999999999</v>
      </c>
      <c r="O43" s="12">
        <v>42.833599</v>
      </c>
      <c r="P43" s="12">
        <v>43.196789000000003</v>
      </c>
      <c r="Q43" s="12">
        <v>43.563479999999998</v>
      </c>
      <c r="R43" s="12">
        <v>43.844101000000002</v>
      </c>
      <c r="S43" s="12">
        <v>44.092540999999997</v>
      </c>
      <c r="T43" s="12">
        <v>44.256062</v>
      </c>
      <c r="U43" s="12">
        <v>44.360087999999998</v>
      </c>
      <c r="V43" s="12">
        <v>44.436351999999999</v>
      </c>
      <c r="W43" s="12">
        <v>43.993740000000003</v>
      </c>
      <c r="X43" s="12">
        <v>43.315891000000001</v>
      </c>
      <c r="Y43" s="12">
        <v>42.553150000000002</v>
      </c>
      <c r="Z43" s="12">
        <v>41.674011</v>
      </c>
      <c r="AA43" s="12">
        <v>40.743789999999997</v>
      </c>
      <c r="AB43" s="12">
        <v>39.755741</v>
      </c>
      <c r="AC43" s="12">
        <v>38.654300999999997</v>
      </c>
      <c r="AD43" s="12">
        <v>37.494700999999999</v>
      </c>
      <c r="AE43" s="12">
        <v>36.462527999999999</v>
      </c>
      <c r="AF43" s="12">
        <v>35.428699000000002</v>
      </c>
      <c r="AG43" s="12">
        <v>34.184071000000003</v>
      </c>
      <c r="AH43" s="12">
        <v>32.859451</v>
      </c>
      <c r="AI43" s="12">
        <v>31.392599000000001</v>
      </c>
      <c r="AJ43" s="12">
        <v>29.78595</v>
      </c>
      <c r="AK43" s="12">
        <v>28.091089</v>
      </c>
      <c r="AL43" s="13">
        <v>-7.8989999999999998E-3</v>
      </c>
    </row>
    <row r="44" spans="1:38" ht="15" customHeight="1" x14ac:dyDescent="0.25">
      <c r="A44" s="7" t="s">
        <v>522</v>
      </c>
      <c r="B44" s="11" t="s">
        <v>523</v>
      </c>
      <c r="C44" s="12">
        <v>201.97200000000001</v>
      </c>
      <c r="D44" s="12">
        <v>208.90649400000001</v>
      </c>
      <c r="E44" s="12">
        <v>211.206604</v>
      </c>
      <c r="F44" s="12">
        <v>221.42039500000001</v>
      </c>
      <c r="G44" s="12">
        <v>230.39610300000001</v>
      </c>
      <c r="H44" s="12">
        <v>238.26289399999999</v>
      </c>
      <c r="I44" s="12">
        <v>244.997604</v>
      </c>
      <c r="J44" s="12">
        <v>251.99749800000001</v>
      </c>
      <c r="K44" s="12">
        <v>259.299194</v>
      </c>
      <c r="L44" s="12">
        <v>266.88751200000002</v>
      </c>
      <c r="M44" s="12">
        <v>274.16900600000002</v>
      </c>
      <c r="N44" s="12">
        <v>281.541901</v>
      </c>
      <c r="O44" s="12">
        <v>288.71481299999999</v>
      </c>
      <c r="P44" s="12">
        <v>296.62701399999997</v>
      </c>
      <c r="Q44" s="12">
        <v>304.28729199999998</v>
      </c>
      <c r="R44" s="12">
        <v>311.87399299999998</v>
      </c>
      <c r="S44" s="12">
        <v>319.46389799999997</v>
      </c>
      <c r="T44" s="12">
        <v>327.231201</v>
      </c>
      <c r="U44" s="12">
        <v>335.45709199999999</v>
      </c>
      <c r="V44" s="12">
        <v>343.92150900000001</v>
      </c>
      <c r="W44" s="12">
        <v>352.72119099999998</v>
      </c>
      <c r="X44" s="12">
        <v>361.60360700000001</v>
      </c>
      <c r="Y44" s="12">
        <v>370.68069500000001</v>
      </c>
      <c r="Z44" s="12">
        <v>379.87588499999998</v>
      </c>
      <c r="AA44" s="12">
        <v>388.78949</v>
      </c>
      <c r="AB44" s="12">
        <v>397.45098899999999</v>
      </c>
      <c r="AC44" s="12">
        <v>406.23559599999999</v>
      </c>
      <c r="AD44" s="12">
        <v>414.81890900000002</v>
      </c>
      <c r="AE44" s="12">
        <v>423.44699100000003</v>
      </c>
      <c r="AF44" s="12">
        <v>432.28420999999997</v>
      </c>
      <c r="AG44" s="12">
        <v>441.07751500000001</v>
      </c>
      <c r="AH44" s="12">
        <v>449.96890300000001</v>
      </c>
      <c r="AI44" s="12">
        <v>459.14920000000001</v>
      </c>
      <c r="AJ44" s="12">
        <v>468.70459</v>
      </c>
      <c r="AK44" s="12">
        <v>478.66018700000001</v>
      </c>
      <c r="AL44" s="13">
        <v>2.5443E-2</v>
      </c>
    </row>
    <row r="45" spans="1:38" ht="15" customHeight="1" x14ac:dyDescent="0.25">
      <c r="A45" s="7" t="s">
        <v>524</v>
      </c>
      <c r="B45" s="11" t="s">
        <v>525</v>
      </c>
      <c r="C45" s="12">
        <v>111.928009</v>
      </c>
      <c r="D45" s="12">
        <v>115.98577899999999</v>
      </c>
      <c r="E45" s="12">
        <v>122.061066</v>
      </c>
      <c r="F45" s="12">
        <v>126.081833</v>
      </c>
      <c r="G45" s="12">
        <v>128.11991900000001</v>
      </c>
      <c r="H45" s="12">
        <v>131.80548099999999</v>
      </c>
      <c r="I45" s="12">
        <v>134.851303</v>
      </c>
      <c r="J45" s="12">
        <v>137.41333</v>
      </c>
      <c r="K45" s="12">
        <v>140.02626000000001</v>
      </c>
      <c r="L45" s="12">
        <v>142.44482400000001</v>
      </c>
      <c r="M45" s="12">
        <v>144.84338399999999</v>
      </c>
      <c r="N45" s="12">
        <v>147.08255</v>
      </c>
      <c r="O45" s="12">
        <v>149.59861799999999</v>
      </c>
      <c r="P45" s="12">
        <v>152.53916899999999</v>
      </c>
      <c r="Q45" s="12">
        <v>156.59522999999999</v>
      </c>
      <c r="R45" s="12">
        <v>160.24438499999999</v>
      </c>
      <c r="S45" s="12">
        <v>161.93725599999999</v>
      </c>
      <c r="T45" s="12">
        <v>164.75642400000001</v>
      </c>
      <c r="U45" s="12">
        <v>168.881989</v>
      </c>
      <c r="V45" s="12">
        <v>173.28447</v>
      </c>
      <c r="W45" s="12">
        <v>177.318085</v>
      </c>
      <c r="X45" s="12">
        <v>181.00318899999999</v>
      </c>
      <c r="Y45" s="12">
        <v>185.332855</v>
      </c>
      <c r="Z45" s="12">
        <v>188.70573400000001</v>
      </c>
      <c r="AA45" s="12">
        <v>192.722137</v>
      </c>
      <c r="AB45" s="12">
        <v>197.32865899999999</v>
      </c>
      <c r="AC45" s="12">
        <v>201.007248</v>
      </c>
      <c r="AD45" s="12">
        <v>205.64260899999999</v>
      </c>
      <c r="AE45" s="12">
        <v>211.04997299999999</v>
      </c>
      <c r="AF45" s="12">
        <v>216.532318</v>
      </c>
      <c r="AG45" s="12">
        <v>222.54911799999999</v>
      </c>
      <c r="AH45" s="12">
        <v>227.62664799999999</v>
      </c>
      <c r="AI45" s="12">
        <v>232.36546300000001</v>
      </c>
      <c r="AJ45" s="12">
        <v>236.71472199999999</v>
      </c>
      <c r="AK45" s="12">
        <v>241.48474100000001</v>
      </c>
      <c r="AL45" s="13">
        <v>2.2471000000000001E-2</v>
      </c>
    </row>
    <row r="46" spans="1:38" ht="15" customHeight="1" x14ac:dyDescent="0.25">
      <c r="A46" s="7" t="s">
        <v>526</v>
      </c>
      <c r="B46" s="11" t="s">
        <v>527</v>
      </c>
      <c r="C46" s="12">
        <v>23.145499999999998</v>
      </c>
      <c r="D46" s="12">
        <v>22.740459000000001</v>
      </c>
      <c r="E46" s="12">
        <v>23.693991</v>
      </c>
      <c r="F46" s="12">
        <v>24.423919999999999</v>
      </c>
      <c r="G46" s="12">
        <v>24.73818</v>
      </c>
      <c r="H46" s="12">
        <v>25.084391</v>
      </c>
      <c r="I46" s="12">
        <v>25.535240000000002</v>
      </c>
      <c r="J46" s="12">
        <v>26.044519000000001</v>
      </c>
      <c r="K46" s="12">
        <v>26.518378999999999</v>
      </c>
      <c r="L46" s="12">
        <v>26.996179999999999</v>
      </c>
      <c r="M46" s="12">
        <v>27.448298999999999</v>
      </c>
      <c r="N46" s="12">
        <v>27.868320000000001</v>
      </c>
      <c r="O46" s="12">
        <v>28.323509000000001</v>
      </c>
      <c r="P46" s="12">
        <v>28.846530999999999</v>
      </c>
      <c r="Q46" s="12">
        <v>29.472441</v>
      </c>
      <c r="R46" s="12">
        <v>30.013559000000001</v>
      </c>
      <c r="S46" s="12">
        <v>30.337720999999998</v>
      </c>
      <c r="T46" s="12">
        <v>30.761690000000002</v>
      </c>
      <c r="U46" s="12">
        <v>31.560141000000002</v>
      </c>
      <c r="V46" s="12">
        <v>32.366149999999998</v>
      </c>
      <c r="W46" s="12">
        <v>33.105598000000001</v>
      </c>
      <c r="X46" s="12">
        <v>33.737929999999999</v>
      </c>
      <c r="Y46" s="12">
        <v>34.376930000000002</v>
      </c>
      <c r="Z46" s="12">
        <v>34.817988999999997</v>
      </c>
      <c r="AA46" s="12">
        <v>35.419781</v>
      </c>
      <c r="AB46" s="12">
        <v>36.062840000000001</v>
      </c>
      <c r="AC46" s="12">
        <v>36.360827999999998</v>
      </c>
      <c r="AD46" s="12">
        <v>36.862572</v>
      </c>
      <c r="AE46" s="12">
        <v>37.533611000000001</v>
      </c>
      <c r="AF46" s="12">
        <v>38.251838999999997</v>
      </c>
      <c r="AG46" s="12">
        <v>38.993381999999997</v>
      </c>
      <c r="AH46" s="12">
        <v>39.563560000000003</v>
      </c>
      <c r="AI46" s="12">
        <v>40.056010999999998</v>
      </c>
      <c r="AJ46" s="12">
        <v>40.443241</v>
      </c>
      <c r="AK46" s="12">
        <v>40.8904</v>
      </c>
      <c r="AL46" s="13">
        <v>1.7939E-2</v>
      </c>
    </row>
    <row r="47" spans="1:38" ht="15" customHeight="1" x14ac:dyDescent="0.25">
      <c r="A47" s="7" t="s">
        <v>528</v>
      </c>
      <c r="B47" s="11" t="s">
        <v>529</v>
      </c>
      <c r="C47" s="12">
        <v>13.939297</v>
      </c>
      <c r="D47" s="12">
        <v>14.098686000000001</v>
      </c>
      <c r="E47" s="12">
        <v>14.622501</v>
      </c>
      <c r="F47" s="12">
        <v>15.341955</v>
      </c>
      <c r="G47" s="12">
        <v>15.749983</v>
      </c>
      <c r="H47" s="12">
        <v>16.265803999999999</v>
      </c>
      <c r="I47" s="12">
        <v>16.628378000000001</v>
      </c>
      <c r="J47" s="12">
        <v>16.811302000000001</v>
      </c>
      <c r="K47" s="12">
        <v>17.062199</v>
      </c>
      <c r="L47" s="12">
        <v>17.253838999999999</v>
      </c>
      <c r="M47" s="12">
        <v>17.479115</v>
      </c>
      <c r="N47" s="12">
        <v>17.702518000000001</v>
      </c>
      <c r="O47" s="12">
        <v>17.876909000000001</v>
      </c>
      <c r="P47" s="12">
        <v>18.153942000000001</v>
      </c>
      <c r="Q47" s="12">
        <v>18.498487000000001</v>
      </c>
      <c r="R47" s="12">
        <v>18.865424999999998</v>
      </c>
      <c r="S47" s="12">
        <v>18.978629999999999</v>
      </c>
      <c r="T47" s="12">
        <v>19.285028000000001</v>
      </c>
      <c r="U47" s="12">
        <v>19.709140999999999</v>
      </c>
      <c r="V47" s="12">
        <v>20.138912000000001</v>
      </c>
      <c r="W47" s="12">
        <v>20.534796</v>
      </c>
      <c r="X47" s="12">
        <v>20.855259</v>
      </c>
      <c r="Y47" s="12">
        <v>21.308723000000001</v>
      </c>
      <c r="Z47" s="12">
        <v>21.632339000000002</v>
      </c>
      <c r="AA47" s="12">
        <v>22.064461000000001</v>
      </c>
      <c r="AB47" s="12">
        <v>22.554428000000001</v>
      </c>
      <c r="AC47" s="12">
        <v>22.891124999999999</v>
      </c>
      <c r="AD47" s="12">
        <v>23.335540999999999</v>
      </c>
      <c r="AE47" s="12">
        <v>23.842559999999999</v>
      </c>
      <c r="AF47" s="12">
        <v>24.339779</v>
      </c>
      <c r="AG47" s="12">
        <v>24.894439999999999</v>
      </c>
      <c r="AH47" s="12">
        <v>25.297488999999999</v>
      </c>
      <c r="AI47" s="12">
        <v>25.664950999999999</v>
      </c>
      <c r="AJ47" s="12">
        <v>25.974571000000001</v>
      </c>
      <c r="AK47" s="12">
        <v>26.310741</v>
      </c>
      <c r="AL47" s="13">
        <v>1.9085999999999999E-2</v>
      </c>
    </row>
    <row r="48" spans="1:38" ht="15" customHeight="1" x14ac:dyDescent="0.25">
      <c r="A48" s="7" t="s">
        <v>530</v>
      </c>
      <c r="B48" s="11" t="s">
        <v>531</v>
      </c>
      <c r="C48" s="12">
        <v>74.843208000000004</v>
      </c>
      <c r="D48" s="12">
        <v>79.146629000000004</v>
      </c>
      <c r="E48" s="12">
        <v>83.744568000000001</v>
      </c>
      <c r="F48" s="12">
        <v>86.315963999999994</v>
      </c>
      <c r="G48" s="12">
        <v>87.631752000000006</v>
      </c>
      <c r="H48" s="12">
        <v>90.455275999999998</v>
      </c>
      <c r="I48" s="12">
        <v>92.687683000000007</v>
      </c>
      <c r="J48" s="12">
        <v>94.557509999999994</v>
      </c>
      <c r="K48" s="12">
        <v>96.445685999999995</v>
      </c>
      <c r="L48" s="12">
        <v>98.194809000000006</v>
      </c>
      <c r="M48" s="12">
        <v>99.915970000000002</v>
      </c>
      <c r="N48" s="12">
        <v>101.511703</v>
      </c>
      <c r="O48" s="12">
        <v>103.398201</v>
      </c>
      <c r="P48" s="12">
        <v>105.538696</v>
      </c>
      <c r="Q48" s="12">
        <v>108.624298</v>
      </c>
      <c r="R48" s="12">
        <v>111.365402</v>
      </c>
      <c r="S48" s="12">
        <v>112.620903</v>
      </c>
      <c r="T48" s="12">
        <v>114.70970199999999</v>
      </c>
      <c r="U48" s="12">
        <v>117.612701</v>
      </c>
      <c r="V48" s="12">
        <v>120.779404</v>
      </c>
      <c r="W48" s="12">
        <v>123.677696</v>
      </c>
      <c r="X48" s="12">
        <v>126.410004</v>
      </c>
      <c r="Y48" s="12">
        <v>129.64720199999999</v>
      </c>
      <c r="Z48" s="12">
        <v>132.255402</v>
      </c>
      <c r="AA48" s="12">
        <v>135.2379</v>
      </c>
      <c r="AB48" s="12">
        <v>138.71139500000001</v>
      </c>
      <c r="AC48" s="12">
        <v>141.75529499999999</v>
      </c>
      <c r="AD48" s="12">
        <v>145.44450399999999</v>
      </c>
      <c r="AE48" s="12">
        <v>149.67379800000001</v>
      </c>
      <c r="AF48" s="12">
        <v>153.94070400000001</v>
      </c>
      <c r="AG48" s="12">
        <v>158.66130100000001</v>
      </c>
      <c r="AH48" s="12">
        <v>162.76559399999999</v>
      </c>
      <c r="AI48" s="12">
        <v>166.64450099999999</v>
      </c>
      <c r="AJ48" s="12">
        <v>170.29690600000001</v>
      </c>
      <c r="AK48" s="12">
        <v>174.28360000000001</v>
      </c>
      <c r="AL48" s="13">
        <v>2.4209000000000001E-2</v>
      </c>
    </row>
    <row r="49" spans="1:38" ht="15" customHeight="1" x14ac:dyDescent="0.25">
      <c r="A49" s="7" t="s">
        <v>532</v>
      </c>
      <c r="B49" s="11" t="s">
        <v>533</v>
      </c>
      <c r="C49" s="12">
        <v>214.68344099999999</v>
      </c>
      <c r="D49" s="12">
        <v>222.93229700000001</v>
      </c>
      <c r="E49" s="12">
        <v>219.528717</v>
      </c>
      <c r="F49" s="12">
        <v>227.44158899999999</v>
      </c>
      <c r="G49" s="12">
        <v>232.56073000000001</v>
      </c>
      <c r="H49" s="12">
        <v>233.817352</v>
      </c>
      <c r="I49" s="12">
        <v>235.65309099999999</v>
      </c>
      <c r="J49" s="12">
        <v>238.276611</v>
      </c>
      <c r="K49" s="12">
        <v>240.955536</v>
      </c>
      <c r="L49" s="12">
        <v>243.59381099999999</v>
      </c>
      <c r="M49" s="12">
        <v>246.428864</v>
      </c>
      <c r="N49" s="12">
        <v>250.09272799999999</v>
      </c>
      <c r="O49" s="12">
        <v>253.42529300000001</v>
      </c>
      <c r="P49" s="12">
        <v>256.301605</v>
      </c>
      <c r="Q49" s="12">
        <v>260.22586100000001</v>
      </c>
      <c r="R49" s="12">
        <v>264.60766599999999</v>
      </c>
      <c r="S49" s="12">
        <v>269.07107500000001</v>
      </c>
      <c r="T49" s="12">
        <v>272.96527099999997</v>
      </c>
      <c r="U49" s="12">
        <v>276.66580199999999</v>
      </c>
      <c r="V49" s="12">
        <v>280.76583900000003</v>
      </c>
      <c r="W49" s="12">
        <v>284.89614899999998</v>
      </c>
      <c r="X49" s="12">
        <v>287.79342700000001</v>
      </c>
      <c r="Y49" s="12">
        <v>290.15741000000003</v>
      </c>
      <c r="Z49" s="12">
        <v>291.61517300000003</v>
      </c>
      <c r="AA49" s="12">
        <v>294.49529999999999</v>
      </c>
      <c r="AB49" s="12">
        <v>298.12973</v>
      </c>
      <c r="AC49" s="12">
        <v>300.94647200000003</v>
      </c>
      <c r="AD49" s="12">
        <v>302.33886699999999</v>
      </c>
      <c r="AE49" s="12">
        <v>302.70941199999999</v>
      </c>
      <c r="AF49" s="12">
        <v>303.18493699999999</v>
      </c>
      <c r="AG49" s="12">
        <v>303.99523900000003</v>
      </c>
      <c r="AH49" s="12">
        <v>305.05658</v>
      </c>
      <c r="AI49" s="12">
        <v>306.27453600000001</v>
      </c>
      <c r="AJ49" s="12">
        <v>306.28353900000002</v>
      </c>
      <c r="AK49" s="12">
        <v>306.12829599999998</v>
      </c>
      <c r="AL49" s="13">
        <v>9.6570000000000007E-3</v>
      </c>
    </row>
    <row r="50" spans="1:38" ht="15" customHeight="1" x14ac:dyDescent="0.25">
      <c r="A50" s="7" t="s">
        <v>534</v>
      </c>
      <c r="B50" s="11" t="s">
        <v>535</v>
      </c>
      <c r="C50" s="12">
        <v>101.12539700000001</v>
      </c>
      <c r="D50" s="12">
        <v>108.419899</v>
      </c>
      <c r="E50" s="12">
        <v>102.084503</v>
      </c>
      <c r="F50" s="12">
        <v>104.72199999999999</v>
      </c>
      <c r="G50" s="12">
        <v>105.122101</v>
      </c>
      <c r="H50" s="12">
        <v>103.764503</v>
      </c>
      <c r="I50" s="12">
        <v>103.735497</v>
      </c>
      <c r="J50" s="12">
        <v>104.21350099999999</v>
      </c>
      <c r="K50" s="12">
        <v>104.55729700000001</v>
      </c>
      <c r="L50" s="12">
        <v>105.12509900000001</v>
      </c>
      <c r="M50" s="12">
        <v>105.635498</v>
      </c>
      <c r="N50" s="12">
        <v>106.590698</v>
      </c>
      <c r="O50" s="12">
        <v>107.218498</v>
      </c>
      <c r="P50" s="12">
        <v>107.900803</v>
      </c>
      <c r="Q50" s="12">
        <v>109.237602</v>
      </c>
      <c r="R50" s="12">
        <v>111.355301</v>
      </c>
      <c r="S50" s="12">
        <v>113.675697</v>
      </c>
      <c r="T50" s="12">
        <v>115.751099</v>
      </c>
      <c r="U50" s="12">
        <v>117.671097</v>
      </c>
      <c r="V50" s="12">
        <v>119.702797</v>
      </c>
      <c r="W50" s="12">
        <v>121.701401</v>
      </c>
      <c r="X50" s="12">
        <v>123.177803</v>
      </c>
      <c r="Y50" s="12">
        <v>123.572098</v>
      </c>
      <c r="Z50" s="12">
        <v>122.926102</v>
      </c>
      <c r="AA50" s="12">
        <v>123.58989699999999</v>
      </c>
      <c r="AB50" s="12">
        <v>125.0476</v>
      </c>
      <c r="AC50" s="12">
        <v>126.0924</v>
      </c>
      <c r="AD50" s="12">
        <v>125.621696</v>
      </c>
      <c r="AE50" s="12">
        <v>125.00129699999999</v>
      </c>
      <c r="AF50" s="12">
        <v>124.52950300000001</v>
      </c>
      <c r="AG50" s="12">
        <v>124.48850299999999</v>
      </c>
      <c r="AH50" s="12">
        <v>124.924896</v>
      </c>
      <c r="AI50" s="12">
        <v>125.923103</v>
      </c>
      <c r="AJ50" s="12">
        <v>125.918198</v>
      </c>
      <c r="AK50" s="12">
        <v>125.358002</v>
      </c>
      <c r="AL50" s="13">
        <v>4.4079999999999996E-3</v>
      </c>
    </row>
    <row r="51" spans="1:38" ht="15" customHeight="1" x14ac:dyDescent="0.25">
      <c r="A51" s="7" t="s">
        <v>536</v>
      </c>
      <c r="B51" s="11" t="s">
        <v>537</v>
      </c>
      <c r="C51" s="12">
        <v>33.125140999999999</v>
      </c>
      <c r="D51" s="12">
        <v>33.119492000000001</v>
      </c>
      <c r="E51" s="12">
        <v>34.186630000000001</v>
      </c>
      <c r="F51" s="12">
        <v>35.551701000000001</v>
      </c>
      <c r="G51" s="12">
        <v>36.235199000000001</v>
      </c>
      <c r="H51" s="12">
        <v>36.635669999999998</v>
      </c>
      <c r="I51" s="12">
        <v>36.609371000000003</v>
      </c>
      <c r="J51" s="12">
        <v>36.807999000000002</v>
      </c>
      <c r="K51" s="12">
        <v>37.355598000000001</v>
      </c>
      <c r="L51" s="12">
        <v>37.759411</v>
      </c>
      <c r="M51" s="12">
        <v>38.409672</v>
      </c>
      <c r="N51" s="12">
        <v>39.302028999999997</v>
      </c>
      <c r="O51" s="12">
        <v>40.145988000000003</v>
      </c>
      <c r="P51" s="12">
        <v>40.836509999999997</v>
      </c>
      <c r="Q51" s="12">
        <v>41.473759000000001</v>
      </c>
      <c r="R51" s="12">
        <v>42.009171000000002</v>
      </c>
      <c r="S51" s="12">
        <v>42.627369000000002</v>
      </c>
      <c r="T51" s="12">
        <v>43.249859000000001</v>
      </c>
      <c r="U51" s="12">
        <v>43.859901000000001</v>
      </c>
      <c r="V51" s="12">
        <v>44.512839999999997</v>
      </c>
      <c r="W51" s="12">
        <v>45.122760999999997</v>
      </c>
      <c r="X51" s="12">
        <v>45.426628000000001</v>
      </c>
      <c r="Y51" s="12">
        <v>45.918430000000001</v>
      </c>
      <c r="Z51" s="12">
        <v>46.409568999999998</v>
      </c>
      <c r="AA51" s="12">
        <v>46.972309000000003</v>
      </c>
      <c r="AB51" s="12">
        <v>47.601920999999997</v>
      </c>
      <c r="AC51" s="12">
        <v>48.033088999999997</v>
      </c>
      <c r="AD51" s="12">
        <v>48.518959000000002</v>
      </c>
      <c r="AE51" s="12">
        <v>48.681702000000001</v>
      </c>
      <c r="AF51" s="12">
        <v>48.903438999999999</v>
      </c>
      <c r="AG51" s="12">
        <v>49.161732000000001</v>
      </c>
      <c r="AH51" s="12">
        <v>49.270457999999998</v>
      </c>
      <c r="AI51" s="12">
        <v>49.209727999999998</v>
      </c>
      <c r="AJ51" s="12">
        <v>49.165641999999998</v>
      </c>
      <c r="AK51" s="12">
        <v>49.439380999999997</v>
      </c>
      <c r="AL51" s="13">
        <v>1.2213999999999999E-2</v>
      </c>
    </row>
    <row r="52" spans="1:38" ht="15" customHeight="1" x14ac:dyDescent="0.25">
      <c r="A52" s="7" t="s">
        <v>538</v>
      </c>
      <c r="B52" s="11" t="s">
        <v>539</v>
      </c>
      <c r="C52" s="12">
        <v>80.432899000000006</v>
      </c>
      <c r="D52" s="12">
        <v>81.392899</v>
      </c>
      <c r="E52" s="12">
        <v>83.257583999999994</v>
      </c>
      <c r="F52" s="12">
        <v>87.167891999999995</v>
      </c>
      <c r="G52" s="12">
        <v>91.203423000000001</v>
      </c>
      <c r="H52" s="12">
        <v>93.417182999999994</v>
      </c>
      <c r="I52" s="12">
        <v>95.308228</v>
      </c>
      <c r="J52" s="12">
        <v>97.255111999999997</v>
      </c>
      <c r="K52" s="12">
        <v>99.042632999999995</v>
      </c>
      <c r="L52" s="12">
        <v>100.70929700000001</v>
      </c>
      <c r="M52" s="12">
        <v>102.383698</v>
      </c>
      <c r="N52" s="12">
        <v>104.199997</v>
      </c>
      <c r="O52" s="12">
        <v>106.060799</v>
      </c>
      <c r="P52" s="12">
        <v>107.564301</v>
      </c>
      <c r="Q52" s="12">
        <v>109.514503</v>
      </c>
      <c r="R52" s="12">
        <v>111.243202</v>
      </c>
      <c r="S52" s="12">
        <v>112.76799800000001</v>
      </c>
      <c r="T52" s="12">
        <v>113.964302</v>
      </c>
      <c r="U52" s="12">
        <v>115.134804</v>
      </c>
      <c r="V52" s="12">
        <v>116.550201</v>
      </c>
      <c r="W52" s="12">
        <v>118.07199900000001</v>
      </c>
      <c r="X52" s="12">
        <v>119.189003</v>
      </c>
      <c r="Y52" s="12">
        <v>120.666901</v>
      </c>
      <c r="Z52" s="12">
        <v>122.27950300000001</v>
      </c>
      <c r="AA52" s="12">
        <v>123.933098</v>
      </c>
      <c r="AB52" s="12">
        <v>125.48020200000001</v>
      </c>
      <c r="AC52" s="12">
        <v>126.820999</v>
      </c>
      <c r="AD52" s="12">
        <v>128.198196</v>
      </c>
      <c r="AE52" s="12">
        <v>129.026398</v>
      </c>
      <c r="AF52" s="12">
        <v>129.75199900000001</v>
      </c>
      <c r="AG52" s="12">
        <v>130.345001</v>
      </c>
      <c r="AH52" s="12">
        <v>130.86120600000001</v>
      </c>
      <c r="AI52" s="12">
        <v>131.141693</v>
      </c>
      <c r="AJ52" s="12">
        <v>131.19970699999999</v>
      </c>
      <c r="AK52" s="12">
        <v>131.33090200000001</v>
      </c>
      <c r="AL52" s="13">
        <v>1.4603E-2</v>
      </c>
    </row>
    <row r="53" spans="1:38" ht="15" customHeight="1" x14ac:dyDescent="0.25">
      <c r="A53" s="7" t="s">
        <v>540</v>
      </c>
      <c r="B53" s="11" t="s">
        <v>541</v>
      </c>
      <c r="C53" s="12">
        <v>345.43719499999997</v>
      </c>
      <c r="D53" s="12">
        <v>361.06140099999999</v>
      </c>
      <c r="E53" s="12">
        <v>369.10159299999998</v>
      </c>
      <c r="F53" s="12">
        <v>378.87658699999997</v>
      </c>
      <c r="G53" s="12">
        <v>382.51208500000001</v>
      </c>
      <c r="H53" s="12">
        <v>383.82540899999998</v>
      </c>
      <c r="I53" s="12">
        <v>391.56539900000001</v>
      </c>
      <c r="J53" s="12">
        <v>399.61871300000001</v>
      </c>
      <c r="K53" s="12">
        <v>408.01458700000001</v>
      </c>
      <c r="L53" s="12">
        <v>415.16650399999997</v>
      </c>
      <c r="M53" s="12">
        <v>424.12350500000002</v>
      </c>
      <c r="N53" s="12">
        <v>432.55300899999997</v>
      </c>
      <c r="O53" s="12">
        <v>442.43279999999999</v>
      </c>
      <c r="P53" s="12">
        <v>456.32479899999998</v>
      </c>
      <c r="Q53" s="12">
        <v>461.609711</v>
      </c>
      <c r="R53" s="12">
        <v>475.27630599999998</v>
      </c>
      <c r="S53" s="12">
        <v>488.61419699999999</v>
      </c>
      <c r="T53" s="12">
        <v>501.49279799999999</v>
      </c>
      <c r="U53" s="12">
        <v>510.15029900000002</v>
      </c>
      <c r="V53" s="12">
        <v>521.14398200000005</v>
      </c>
      <c r="W53" s="12">
        <v>533.34667999999999</v>
      </c>
      <c r="X53" s="12">
        <v>544.76110800000004</v>
      </c>
      <c r="Y53" s="12">
        <v>556.25591999999995</v>
      </c>
      <c r="Z53" s="12">
        <v>572.39367700000003</v>
      </c>
      <c r="AA53" s="12">
        <v>589.40972899999997</v>
      </c>
      <c r="AB53" s="12">
        <v>606.75799600000005</v>
      </c>
      <c r="AC53" s="12">
        <v>625.34808299999997</v>
      </c>
      <c r="AD53" s="12">
        <v>644.28808600000002</v>
      </c>
      <c r="AE53" s="12">
        <v>664.680115</v>
      </c>
      <c r="AF53" s="12">
        <v>685.59198000000004</v>
      </c>
      <c r="AG53" s="12">
        <v>700.75219700000002</v>
      </c>
      <c r="AH53" s="12">
        <v>717.88220200000001</v>
      </c>
      <c r="AI53" s="12">
        <v>734.75427200000001</v>
      </c>
      <c r="AJ53" s="12">
        <v>752.56170699999996</v>
      </c>
      <c r="AK53" s="12">
        <v>771.06048599999997</v>
      </c>
      <c r="AL53" s="13">
        <v>2.3258000000000001E-2</v>
      </c>
    </row>
    <row r="54" spans="1:38" ht="15" customHeight="1" x14ac:dyDescent="0.25">
      <c r="A54" s="7" t="s">
        <v>542</v>
      </c>
      <c r="B54" s="11" t="s">
        <v>543</v>
      </c>
      <c r="C54" s="12">
        <v>340.52121</v>
      </c>
      <c r="D54" s="12">
        <v>356.64471400000002</v>
      </c>
      <c r="E54" s="12">
        <v>375.26348899999999</v>
      </c>
      <c r="F54" s="12">
        <v>404.93798800000002</v>
      </c>
      <c r="G54" s="12">
        <v>430.00399800000002</v>
      </c>
      <c r="H54" s="12">
        <v>441.34439099999997</v>
      </c>
      <c r="I54" s="12">
        <v>453.66409299999998</v>
      </c>
      <c r="J54" s="12">
        <v>466.15741000000003</v>
      </c>
      <c r="K54" s="12">
        <v>477.10910000000001</v>
      </c>
      <c r="L54" s="12">
        <v>488.386505</v>
      </c>
      <c r="M54" s="12">
        <v>499.016907</v>
      </c>
      <c r="N54" s="12">
        <v>512.44738800000005</v>
      </c>
      <c r="O54" s="12">
        <v>525.32739300000003</v>
      </c>
      <c r="P54" s="12">
        <v>538.06079099999999</v>
      </c>
      <c r="Q54" s="12">
        <v>552.09069799999997</v>
      </c>
      <c r="R54" s="12">
        <v>564.37982199999999</v>
      </c>
      <c r="S54" s="12">
        <v>577.87780799999996</v>
      </c>
      <c r="T54" s="12">
        <v>590.262878</v>
      </c>
      <c r="U54" s="12">
        <v>600.24169900000004</v>
      </c>
      <c r="V54" s="12">
        <v>611.98852499999998</v>
      </c>
      <c r="W54" s="12">
        <v>623.878601</v>
      </c>
      <c r="X54" s="12">
        <v>631.17156999999997</v>
      </c>
      <c r="Y54" s="12">
        <v>643.99920699999996</v>
      </c>
      <c r="Z54" s="12">
        <v>656.42040999999995</v>
      </c>
      <c r="AA54" s="12">
        <v>670.07519500000001</v>
      </c>
      <c r="AB54" s="12">
        <v>683.90368699999999</v>
      </c>
      <c r="AC54" s="12">
        <v>694.33581500000003</v>
      </c>
      <c r="AD54" s="12">
        <v>705.76208499999996</v>
      </c>
      <c r="AE54" s="12">
        <v>713.285706</v>
      </c>
      <c r="AF54" s="12">
        <v>721.25591999999995</v>
      </c>
      <c r="AG54" s="12">
        <v>728.66662599999995</v>
      </c>
      <c r="AH54" s="12">
        <v>737.05932600000006</v>
      </c>
      <c r="AI54" s="12">
        <v>742.75262499999997</v>
      </c>
      <c r="AJ54" s="12">
        <v>746.69928000000004</v>
      </c>
      <c r="AK54" s="12">
        <v>751.82000700000003</v>
      </c>
      <c r="AL54" s="13">
        <v>2.2856000000000001E-2</v>
      </c>
    </row>
    <row r="55" spans="1:38" ht="15" customHeight="1" x14ac:dyDescent="0.25">
      <c r="A55" s="7" t="s">
        <v>544</v>
      </c>
      <c r="B55" s="11" t="s">
        <v>545</v>
      </c>
      <c r="C55" s="12">
        <v>331.67678799999999</v>
      </c>
      <c r="D55" s="12">
        <v>370.72399899999999</v>
      </c>
      <c r="E55" s="12">
        <v>360.97430400000002</v>
      </c>
      <c r="F55" s="12">
        <v>372.65429699999999</v>
      </c>
      <c r="G55" s="12">
        <v>381.50518799999998</v>
      </c>
      <c r="H55" s="12">
        <v>389.80371100000002</v>
      </c>
      <c r="I55" s="12">
        <v>401.04058800000001</v>
      </c>
      <c r="J55" s="12">
        <v>411.76449600000001</v>
      </c>
      <c r="K55" s="12">
        <v>422.36300699999998</v>
      </c>
      <c r="L55" s="12">
        <v>432.45239299999997</v>
      </c>
      <c r="M55" s="12">
        <v>443.67739899999998</v>
      </c>
      <c r="N55" s="12">
        <v>456.28851300000002</v>
      </c>
      <c r="O55" s="12">
        <v>469.183807</v>
      </c>
      <c r="P55" s="12">
        <v>481.67739899999998</v>
      </c>
      <c r="Q55" s="12">
        <v>494.54458599999998</v>
      </c>
      <c r="R55" s="12">
        <v>506.72131300000001</v>
      </c>
      <c r="S55" s="12">
        <v>518.44988999999998</v>
      </c>
      <c r="T55" s="12">
        <v>529.56732199999999</v>
      </c>
      <c r="U55" s="12">
        <v>540.73071300000004</v>
      </c>
      <c r="V55" s="12">
        <v>551.91216999999995</v>
      </c>
      <c r="W55" s="12">
        <v>562.22051999999996</v>
      </c>
      <c r="X55" s="12">
        <v>571.71057099999996</v>
      </c>
      <c r="Y55" s="12">
        <v>580.44531199999994</v>
      </c>
      <c r="Z55" s="12">
        <v>590.06121800000005</v>
      </c>
      <c r="AA55" s="12">
        <v>600.31701699999996</v>
      </c>
      <c r="AB55" s="12">
        <v>611.55572500000005</v>
      </c>
      <c r="AC55" s="12">
        <v>623.19622800000002</v>
      </c>
      <c r="AD55" s="12">
        <v>634.85540800000001</v>
      </c>
      <c r="AE55" s="12">
        <v>645.76251200000002</v>
      </c>
      <c r="AF55" s="12">
        <v>656.15197799999999</v>
      </c>
      <c r="AG55" s="12">
        <v>666.26959199999999</v>
      </c>
      <c r="AH55" s="12">
        <v>678.17382799999996</v>
      </c>
      <c r="AI55" s="12">
        <v>689.38769500000001</v>
      </c>
      <c r="AJ55" s="12">
        <v>700.55480999999997</v>
      </c>
      <c r="AK55" s="12">
        <v>712.64801</v>
      </c>
      <c r="AL55" s="13">
        <v>2.0001000000000001E-2</v>
      </c>
    </row>
    <row r="56" spans="1:38" ht="15" customHeight="1" x14ac:dyDescent="0.25">
      <c r="A56" s="7" t="s">
        <v>546</v>
      </c>
      <c r="B56" s="11" t="s">
        <v>547</v>
      </c>
      <c r="C56" s="12">
        <v>964.37847899999997</v>
      </c>
      <c r="D56" s="12">
        <v>1039.650024</v>
      </c>
      <c r="E56" s="12">
        <v>932.75982699999997</v>
      </c>
      <c r="F56" s="12">
        <v>988.23681599999998</v>
      </c>
      <c r="G56" s="12">
        <v>1039.609009</v>
      </c>
      <c r="H56" s="12">
        <v>1062.0710449999999</v>
      </c>
      <c r="I56" s="12">
        <v>1070.9930420000001</v>
      </c>
      <c r="J56" s="12">
        <v>1090.920044</v>
      </c>
      <c r="K56" s="12">
        <v>1099.3439940000001</v>
      </c>
      <c r="L56" s="12">
        <v>1128.4079589999999</v>
      </c>
      <c r="M56" s="12">
        <v>1168.1519780000001</v>
      </c>
      <c r="N56" s="12">
        <v>1199.484009</v>
      </c>
      <c r="O56" s="12">
        <v>1232.3979489999999</v>
      </c>
      <c r="P56" s="12">
        <v>1262.003052</v>
      </c>
      <c r="Q56" s="12">
        <v>1290.1679690000001</v>
      </c>
      <c r="R56" s="12">
        <v>1319.9370120000001</v>
      </c>
      <c r="S56" s="12">
        <v>1353.025024</v>
      </c>
      <c r="T56" s="12">
        <v>1382.7380370000001</v>
      </c>
      <c r="U56" s="12">
        <v>1417.0830080000001</v>
      </c>
      <c r="V56" s="12">
        <v>1455.3929439999999</v>
      </c>
      <c r="W56" s="12">
        <v>1492.0699460000001</v>
      </c>
      <c r="X56" s="12">
        <v>1529.775024</v>
      </c>
      <c r="Y56" s="12">
        <v>1568.8179929999999</v>
      </c>
      <c r="Z56" s="12">
        <v>1606.0410159999999</v>
      </c>
      <c r="AA56" s="12">
        <v>1641.301025</v>
      </c>
      <c r="AB56" s="12">
        <v>1672.093018</v>
      </c>
      <c r="AC56" s="12">
        <v>1704.2700199999999</v>
      </c>
      <c r="AD56" s="12">
        <v>1739.94397</v>
      </c>
      <c r="AE56" s="12">
        <v>1776.88501</v>
      </c>
      <c r="AF56" s="12">
        <v>1813.4479980000001</v>
      </c>
      <c r="AG56" s="12">
        <v>1849.260986</v>
      </c>
      <c r="AH56" s="12">
        <v>1883.6929929999999</v>
      </c>
      <c r="AI56" s="12">
        <v>1916.1729740000001</v>
      </c>
      <c r="AJ56" s="12">
        <v>1949.7089840000001</v>
      </c>
      <c r="AK56" s="12">
        <v>1985.040039</v>
      </c>
      <c r="AL56" s="13">
        <v>1.9792000000000001E-2</v>
      </c>
    </row>
    <row r="57" spans="1:38" ht="15" customHeight="1" x14ac:dyDescent="0.25">
      <c r="A57" s="7" t="s">
        <v>548</v>
      </c>
      <c r="B57" s="11" t="s">
        <v>549</v>
      </c>
      <c r="C57" s="12">
        <v>115.421898</v>
      </c>
      <c r="D57" s="12">
        <v>115.533897</v>
      </c>
      <c r="E57" s="12">
        <v>118.25050400000001</v>
      </c>
      <c r="F57" s="12">
        <v>122.63649700000001</v>
      </c>
      <c r="G57" s="12">
        <v>126.508797</v>
      </c>
      <c r="H57" s="12">
        <v>130.123795</v>
      </c>
      <c r="I57" s="12">
        <v>135.43310500000001</v>
      </c>
      <c r="J57" s="12">
        <v>140.21820099999999</v>
      </c>
      <c r="K57" s="12">
        <v>144.20559700000001</v>
      </c>
      <c r="L57" s="12">
        <v>147.19470200000001</v>
      </c>
      <c r="M57" s="12">
        <v>150.92289700000001</v>
      </c>
      <c r="N57" s="12">
        <v>155.729095</v>
      </c>
      <c r="O57" s="12">
        <v>161.04260300000001</v>
      </c>
      <c r="P57" s="12">
        <v>165.81809999999999</v>
      </c>
      <c r="Q57" s="12">
        <v>170.11999499999999</v>
      </c>
      <c r="R57" s="12">
        <v>174.89709500000001</v>
      </c>
      <c r="S57" s="12">
        <v>179.667404</v>
      </c>
      <c r="T57" s="12">
        <v>183.80050700000001</v>
      </c>
      <c r="U57" s="12">
        <v>187.90220600000001</v>
      </c>
      <c r="V57" s="12">
        <v>191.75050400000001</v>
      </c>
      <c r="W57" s="12">
        <v>196.18150299999999</v>
      </c>
      <c r="X57" s="12">
        <v>199.96099899999999</v>
      </c>
      <c r="Y57" s="12">
        <v>203.59759500000001</v>
      </c>
      <c r="Z57" s="12">
        <v>208.149902</v>
      </c>
      <c r="AA57" s="12">
        <v>212.77659600000001</v>
      </c>
      <c r="AB57" s="12">
        <v>217.76840200000001</v>
      </c>
      <c r="AC57" s="12">
        <v>223.85960399999999</v>
      </c>
      <c r="AD57" s="12">
        <v>230.07240300000001</v>
      </c>
      <c r="AE57" s="12">
        <v>235.707199</v>
      </c>
      <c r="AF57" s="12">
        <v>240.52920499999999</v>
      </c>
      <c r="AG57" s="12">
        <v>244.808807</v>
      </c>
      <c r="AH57" s="12">
        <v>249.685104</v>
      </c>
      <c r="AI57" s="12">
        <v>254.866806</v>
      </c>
      <c r="AJ57" s="12">
        <v>260.76388500000002</v>
      </c>
      <c r="AK57" s="12">
        <v>266.29098499999998</v>
      </c>
      <c r="AL57" s="13">
        <v>2.5627E-2</v>
      </c>
    </row>
    <row r="58" spans="1:38" ht="15" customHeight="1" x14ac:dyDescent="0.25">
      <c r="A58" s="7" t="s">
        <v>550</v>
      </c>
      <c r="B58" s="11" t="s">
        <v>551</v>
      </c>
      <c r="C58" s="12">
        <v>64.933082999999996</v>
      </c>
      <c r="D58" s="12">
        <v>65.953040999999999</v>
      </c>
      <c r="E58" s="12">
        <v>68.942588999999998</v>
      </c>
      <c r="F58" s="12">
        <v>71.347251999999997</v>
      </c>
      <c r="G58" s="12">
        <v>73.220673000000005</v>
      </c>
      <c r="H58" s="12">
        <v>74.863410999999999</v>
      </c>
      <c r="I58" s="12">
        <v>76.716431</v>
      </c>
      <c r="J58" s="12">
        <v>78.745795999999999</v>
      </c>
      <c r="K58" s="12">
        <v>80.921943999999996</v>
      </c>
      <c r="L58" s="12">
        <v>83.161308000000005</v>
      </c>
      <c r="M58" s="12">
        <v>85.538719</v>
      </c>
      <c r="N58" s="12">
        <v>88.030991</v>
      </c>
      <c r="O58" s="12">
        <v>90.600037</v>
      </c>
      <c r="P58" s="12">
        <v>93.287086000000002</v>
      </c>
      <c r="Q58" s="12">
        <v>96.015991</v>
      </c>
      <c r="R58" s="12">
        <v>98.739547999999999</v>
      </c>
      <c r="S58" s="12">
        <v>101.487396</v>
      </c>
      <c r="T58" s="12">
        <v>104.27159899999999</v>
      </c>
      <c r="U58" s="12">
        <v>107.25279999999999</v>
      </c>
      <c r="V58" s="12">
        <v>110.307098</v>
      </c>
      <c r="W58" s="12">
        <v>113.45369700000001</v>
      </c>
      <c r="X58" s="12">
        <v>116.5868</v>
      </c>
      <c r="Y58" s="12">
        <v>119.775902</v>
      </c>
      <c r="Z58" s="12">
        <v>122.998802</v>
      </c>
      <c r="AA58" s="12">
        <v>126.2491</v>
      </c>
      <c r="AB58" s="12">
        <v>129.53230300000001</v>
      </c>
      <c r="AC58" s="12">
        <v>132.80619799999999</v>
      </c>
      <c r="AD58" s="12">
        <v>136.21319600000001</v>
      </c>
      <c r="AE58" s="12">
        <v>139.69070400000001</v>
      </c>
      <c r="AF58" s="12">
        <v>143.15759299999999</v>
      </c>
      <c r="AG58" s="12">
        <v>146.645096</v>
      </c>
      <c r="AH58" s="12">
        <v>150.348907</v>
      </c>
      <c r="AI58" s="12">
        <v>154.12660199999999</v>
      </c>
      <c r="AJ58" s="12">
        <v>157.96130400000001</v>
      </c>
      <c r="AK58" s="12">
        <v>161.861694</v>
      </c>
      <c r="AL58" s="13">
        <v>2.758E-2</v>
      </c>
    </row>
    <row r="60" spans="1:38" ht="15" customHeight="1" x14ac:dyDescent="0.25">
      <c r="A60" s="7" t="s">
        <v>552</v>
      </c>
      <c r="B60" s="10" t="s">
        <v>553</v>
      </c>
      <c r="C60" s="14">
        <v>7334.5180659999996</v>
      </c>
      <c r="D60" s="14">
        <v>7574.6577150000003</v>
      </c>
      <c r="E60" s="14">
        <v>7613.5034180000002</v>
      </c>
      <c r="F60" s="14">
        <v>7893.2539059999999</v>
      </c>
      <c r="G60" s="14">
        <v>8084.7719729999999</v>
      </c>
      <c r="H60" s="14">
        <v>8225.2382809999999</v>
      </c>
      <c r="I60" s="14">
        <v>8361.3867190000001</v>
      </c>
      <c r="J60" s="14">
        <v>8501.9423829999996</v>
      </c>
      <c r="K60" s="14">
        <v>8640.7548829999996</v>
      </c>
      <c r="L60" s="14">
        <v>8777.0830079999996</v>
      </c>
      <c r="M60" s="14">
        <v>8924.4208980000003</v>
      </c>
      <c r="N60" s="14">
        <v>9071.3662110000005</v>
      </c>
      <c r="O60" s="14">
        <v>9230.546875</v>
      </c>
      <c r="P60" s="14">
        <v>9386.4414059999999</v>
      </c>
      <c r="Q60" s="14">
        <v>9539.9863280000009</v>
      </c>
      <c r="R60" s="14">
        <v>9703.3066409999992</v>
      </c>
      <c r="S60" s="14">
        <v>9853.9013670000004</v>
      </c>
      <c r="T60" s="14">
        <v>9997.7285159999992</v>
      </c>
      <c r="U60" s="14">
        <v>10154.051758</v>
      </c>
      <c r="V60" s="14">
        <v>10320.367188</v>
      </c>
      <c r="W60" s="14">
        <v>10486.091796999999</v>
      </c>
      <c r="X60" s="14">
        <v>10648.722656</v>
      </c>
      <c r="Y60" s="14">
        <v>10823.109375</v>
      </c>
      <c r="Z60" s="14">
        <v>10991.129883</v>
      </c>
      <c r="AA60" s="14">
        <v>11170.569336</v>
      </c>
      <c r="AB60" s="14">
        <v>11352.535156</v>
      </c>
      <c r="AC60" s="14">
        <v>11519.5</v>
      </c>
      <c r="AD60" s="14">
        <v>11696.833008</v>
      </c>
      <c r="AE60" s="14">
        <v>11875.255859000001</v>
      </c>
      <c r="AF60" s="14">
        <v>12049.760742</v>
      </c>
      <c r="AG60" s="14">
        <v>12221.124023</v>
      </c>
      <c r="AH60" s="14">
        <v>12400.442383</v>
      </c>
      <c r="AI60" s="14">
        <v>12568.214844</v>
      </c>
      <c r="AJ60" s="14">
        <v>12731.063477</v>
      </c>
      <c r="AK60" s="14">
        <v>12908.269531</v>
      </c>
      <c r="AL60" s="15">
        <v>1.6284E-2</v>
      </c>
    </row>
    <row r="61" spans="1:38" ht="15" customHeight="1" thickBot="1" x14ac:dyDescent="0.3"/>
    <row r="62" spans="1:38" ht="15" customHeight="1" x14ac:dyDescent="0.25">
      <c r="B62" s="369" t="s">
        <v>554</v>
      </c>
      <c r="C62" s="369"/>
      <c r="D62" s="369"/>
      <c r="E62" s="369"/>
      <c r="F62" s="369"/>
      <c r="G62" s="369"/>
      <c r="H62" s="369"/>
      <c r="I62" s="369"/>
      <c r="J62" s="369"/>
      <c r="K62" s="369"/>
      <c r="L62" s="369"/>
      <c r="M62" s="369"/>
      <c r="N62" s="369"/>
      <c r="O62" s="369"/>
      <c r="P62" s="369"/>
      <c r="Q62" s="369"/>
      <c r="R62" s="369"/>
      <c r="S62" s="369"/>
      <c r="T62" s="369"/>
      <c r="U62" s="369"/>
      <c r="V62" s="369"/>
      <c r="W62" s="369"/>
      <c r="X62" s="369"/>
      <c r="Y62" s="369"/>
      <c r="Z62" s="369"/>
      <c r="AA62" s="369"/>
      <c r="AB62" s="369"/>
      <c r="AC62" s="369"/>
      <c r="AD62" s="369"/>
      <c r="AE62" s="369"/>
      <c r="AF62" s="369"/>
      <c r="AG62" s="369"/>
      <c r="AH62" s="369"/>
      <c r="AI62" s="369"/>
      <c r="AJ62" s="369"/>
      <c r="AK62" s="369"/>
      <c r="AL62" s="369"/>
    </row>
    <row r="63" spans="1:38" ht="15" customHeight="1" x14ac:dyDescent="0.25">
      <c r="B63" s="18" t="s">
        <v>1749</v>
      </c>
    </row>
    <row r="64" spans="1:38" ht="15" customHeight="1" x14ac:dyDescent="0.25">
      <c r="B64" s="18" t="s">
        <v>1750</v>
      </c>
    </row>
    <row r="65" spans="2:2" ht="15" customHeight="1" x14ac:dyDescent="0.25">
      <c r="B65" t="s">
        <v>1751</v>
      </c>
    </row>
  </sheetData>
  <mergeCells count="1">
    <mergeCell ref="B62:AL6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5" tint="0.79998168889431442"/>
  </sheetPr>
  <dimension ref="A1:AL48"/>
  <sheetViews>
    <sheetView topLeftCell="B1" workbookViewId="0">
      <selection activeCell="D22" sqref="D22"/>
    </sheetView>
  </sheetViews>
  <sheetFormatPr defaultRowHeight="15" x14ac:dyDescent="0.25"/>
  <cols>
    <col min="1" max="1" width="20.85546875" hidden="1" customWidth="1"/>
    <col min="2" max="2" width="45.7109375" customWidth="1"/>
  </cols>
  <sheetData>
    <row r="1" spans="1:38" ht="15" customHeight="1" thickBot="1" x14ac:dyDescent="0.3">
      <c r="B1" s="4" t="s">
        <v>1743</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8" ht="15" customHeight="1" thickTop="1" x14ac:dyDescent="0.25"/>
    <row r="3" spans="1:38" ht="15" customHeight="1" x14ac:dyDescent="0.25">
      <c r="C3" s="6" t="s">
        <v>11</v>
      </c>
      <c r="D3" s="6" t="s">
        <v>1744</v>
      </c>
      <c r="E3" s="6"/>
      <c r="F3" s="6"/>
      <c r="G3" s="6"/>
    </row>
    <row r="4" spans="1:38" ht="15" customHeight="1" x14ac:dyDescent="0.25">
      <c r="C4" s="6" t="s">
        <v>12</v>
      </c>
      <c r="D4" s="6" t="s">
        <v>1745</v>
      </c>
      <c r="E4" s="6"/>
      <c r="F4" s="6"/>
      <c r="G4" s="6" t="s">
        <v>328</v>
      </c>
    </row>
    <row r="5" spans="1:38" ht="15" customHeight="1" x14ac:dyDescent="0.25">
      <c r="C5" s="6" t="s">
        <v>13</v>
      </c>
      <c r="D5" s="6" t="s">
        <v>1746</v>
      </c>
      <c r="E5" s="6"/>
      <c r="F5" s="6"/>
      <c r="G5" s="6"/>
    </row>
    <row r="6" spans="1:38" ht="15" customHeight="1" x14ac:dyDescent="0.25">
      <c r="C6" s="6" t="s">
        <v>14</v>
      </c>
      <c r="D6" s="6"/>
      <c r="E6" s="6" t="s">
        <v>1747</v>
      </c>
      <c r="F6" s="6"/>
      <c r="G6" s="6"/>
    </row>
    <row r="10" spans="1:38" ht="15" customHeight="1" x14ac:dyDescent="0.25">
      <c r="A10" s="7" t="s">
        <v>1321</v>
      </c>
      <c r="B10" s="8" t="s">
        <v>1322</v>
      </c>
    </row>
    <row r="11" spans="1:38" ht="15" customHeight="1" x14ac:dyDescent="0.25">
      <c r="B11" s="4" t="s">
        <v>17</v>
      </c>
    </row>
    <row r="12" spans="1:38" ht="15" customHeight="1" x14ac:dyDescent="0.2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v>
      </c>
      <c r="AL12" s="9" t="s">
        <v>1748</v>
      </c>
    </row>
    <row r="13" spans="1:38" ht="15" customHeight="1" thickBot="1" x14ac:dyDescent="0.3">
      <c r="B13" s="5" t="s">
        <v>1323</v>
      </c>
      <c r="C13" s="5">
        <v>2016</v>
      </c>
      <c r="D13" s="5">
        <v>2017</v>
      </c>
      <c r="E13" s="5">
        <v>2018</v>
      </c>
      <c r="F13" s="5">
        <v>2019</v>
      </c>
      <c r="G13" s="5">
        <v>2020</v>
      </c>
      <c r="H13" s="5">
        <v>2021</v>
      </c>
      <c r="I13" s="5">
        <v>2022</v>
      </c>
      <c r="J13" s="5">
        <v>2023</v>
      </c>
      <c r="K13" s="5">
        <v>2024</v>
      </c>
      <c r="L13" s="5">
        <v>2025</v>
      </c>
      <c r="M13" s="5">
        <v>2026</v>
      </c>
      <c r="N13" s="5">
        <v>2027</v>
      </c>
      <c r="O13" s="5">
        <v>2028</v>
      </c>
      <c r="P13" s="5">
        <v>2029</v>
      </c>
      <c r="Q13" s="5">
        <v>2030</v>
      </c>
      <c r="R13" s="5">
        <v>2031</v>
      </c>
      <c r="S13" s="5">
        <v>2032</v>
      </c>
      <c r="T13" s="5">
        <v>2033</v>
      </c>
      <c r="U13" s="5">
        <v>2034</v>
      </c>
      <c r="V13" s="5">
        <v>2035</v>
      </c>
      <c r="W13" s="5">
        <v>2036</v>
      </c>
      <c r="X13" s="5">
        <v>2037</v>
      </c>
      <c r="Y13" s="5">
        <v>2038</v>
      </c>
      <c r="Z13" s="5">
        <v>2039</v>
      </c>
      <c r="AA13" s="5">
        <v>2040</v>
      </c>
      <c r="AB13" s="5">
        <v>2041</v>
      </c>
      <c r="AC13" s="5">
        <v>2042</v>
      </c>
      <c r="AD13" s="5">
        <v>2043</v>
      </c>
      <c r="AE13" s="5">
        <v>2044</v>
      </c>
      <c r="AF13" s="5">
        <v>2045</v>
      </c>
      <c r="AG13" s="5">
        <v>2046</v>
      </c>
      <c r="AH13" s="5">
        <v>2047</v>
      </c>
      <c r="AI13" s="5">
        <v>2048</v>
      </c>
      <c r="AJ13" s="5">
        <v>2049</v>
      </c>
      <c r="AK13" s="5">
        <v>2050</v>
      </c>
      <c r="AL13" s="5">
        <v>2050</v>
      </c>
    </row>
    <row r="14" spans="1:38" ht="15" customHeight="1" thickTop="1" x14ac:dyDescent="0.25"/>
    <row r="15" spans="1:38" ht="15" customHeight="1" x14ac:dyDescent="0.25">
      <c r="B15" s="10" t="s">
        <v>1324</v>
      </c>
    </row>
    <row r="16" spans="1:38" ht="15" customHeight="1" x14ac:dyDescent="0.25">
      <c r="A16" s="7" t="s">
        <v>1325</v>
      </c>
      <c r="B16" s="11" t="s">
        <v>1326</v>
      </c>
      <c r="C16" s="16">
        <v>3.0261070000000001</v>
      </c>
      <c r="D16" s="16">
        <v>3.0255740000000002</v>
      </c>
      <c r="E16" s="16">
        <v>3.0620150000000002</v>
      </c>
      <c r="F16" s="16">
        <v>2.865313</v>
      </c>
      <c r="G16" s="16">
        <v>2.7238319999999998</v>
      </c>
      <c r="H16" s="16">
        <v>2.647974</v>
      </c>
      <c r="I16" s="16">
        <v>2.625413</v>
      </c>
      <c r="J16" s="16">
        <v>2.6550009999999999</v>
      </c>
      <c r="K16" s="16">
        <v>2.6010779999999998</v>
      </c>
      <c r="L16" s="16">
        <v>2.5955710000000001</v>
      </c>
      <c r="M16" s="16">
        <v>2.5447739999999999</v>
      </c>
      <c r="N16" s="16">
        <v>2.5122810000000002</v>
      </c>
      <c r="O16" s="16">
        <v>2.4808849999999998</v>
      </c>
      <c r="P16" s="16">
        <v>2.4522789999999999</v>
      </c>
      <c r="Q16" s="16">
        <v>2.3955030000000002</v>
      </c>
      <c r="R16" s="16">
        <v>2.3772530000000001</v>
      </c>
      <c r="S16" s="16">
        <v>2.3673009999999999</v>
      </c>
      <c r="T16" s="16">
        <v>2.328157</v>
      </c>
      <c r="U16" s="16">
        <v>2.2675869999999998</v>
      </c>
      <c r="V16" s="16">
        <v>2.2269589999999999</v>
      </c>
      <c r="W16" s="16">
        <v>2.1813549999999999</v>
      </c>
      <c r="X16" s="16">
        <v>2.0981679999999998</v>
      </c>
      <c r="Y16" s="16">
        <v>2.0669300000000002</v>
      </c>
      <c r="Z16" s="16">
        <v>2.0114320000000001</v>
      </c>
      <c r="AA16" s="16">
        <v>1.9613910000000001</v>
      </c>
      <c r="AB16" s="16">
        <v>1.9204969999999999</v>
      </c>
      <c r="AC16" s="16">
        <v>1.8654379999999999</v>
      </c>
      <c r="AD16" s="16">
        <v>1.806433</v>
      </c>
      <c r="AE16" s="16">
        <v>1.6848160000000001</v>
      </c>
      <c r="AF16" s="16">
        <v>1.61747</v>
      </c>
      <c r="AG16" s="16">
        <v>1.5213650000000001</v>
      </c>
      <c r="AH16" s="16">
        <v>1.417573</v>
      </c>
      <c r="AI16" s="16">
        <v>1.344803</v>
      </c>
      <c r="AJ16" s="16">
        <v>1.2770459999999999</v>
      </c>
      <c r="AK16" s="16">
        <v>1.1829719999999999</v>
      </c>
      <c r="AL16" s="13">
        <v>-2.8056000000000001E-2</v>
      </c>
    </row>
    <row r="17" spans="1:38" ht="15" customHeight="1" x14ac:dyDescent="0.25">
      <c r="A17" s="7" t="s">
        <v>1327</v>
      </c>
      <c r="B17" s="11" t="s">
        <v>1328</v>
      </c>
      <c r="C17" s="16">
        <v>2.938663</v>
      </c>
      <c r="D17" s="16">
        <v>2.947314</v>
      </c>
      <c r="E17" s="16">
        <v>2.9844949999999999</v>
      </c>
      <c r="F17" s="16">
        <v>2.7883789999999999</v>
      </c>
      <c r="G17" s="16">
        <v>2.647335</v>
      </c>
      <c r="H17" s="16">
        <v>2.5717660000000002</v>
      </c>
      <c r="I17" s="16">
        <v>2.54935</v>
      </c>
      <c r="J17" s="16">
        <v>2.5789369999999998</v>
      </c>
      <c r="K17" s="16">
        <v>2.5250140000000001</v>
      </c>
      <c r="L17" s="16">
        <v>2.5195069999999999</v>
      </c>
      <c r="M17" s="16">
        <v>2.4687100000000002</v>
      </c>
      <c r="N17" s="16">
        <v>2.4362170000000001</v>
      </c>
      <c r="O17" s="16">
        <v>2.4048219999999998</v>
      </c>
      <c r="P17" s="16">
        <v>2.3762150000000002</v>
      </c>
      <c r="Q17" s="16">
        <v>2.319439</v>
      </c>
      <c r="R17" s="16">
        <v>2.3011889999999999</v>
      </c>
      <c r="S17" s="16">
        <v>2.2912370000000002</v>
      </c>
      <c r="T17" s="16">
        <v>2.2520929999999999</v>
      </c>
      <c r="U17" s="16">
        <v>2.1915239999999998</v>
      </c>
      <c r="V17" s="16">
        <v>2.1508949999999998</v>
      </c>
      <c r="W17" s="16">
        <v>2.1052909999999998</v>
      </c>
      <c r="X17" s="16">
        <v>2.0221049999999998</v>
      </c>
      <c r="Y17" s="16">
        <v>1.990866</v>
      </c>
      <c r="Z17" s="16">
        <v>1.9353689999999999</v>
      </c>
      <c r="AA17" s="16">
        <v>1.8853279999999999</v>
      </c>
      <c r="AB17" s="16">
        <v>1.844433</v>
      </c>
      <c r="AC17" s="16">
        <v>1.789374</v>
      </c>
      <c r="AD17" s="16">
        <v>1.73037</v>
      </c>
      <c r="AE17" s="16">
        <v>1.6087530000000001</v>
      </c>
      <c r="AF17" s="16">
        <v>1.5414060000000001</v>
      </c>
      <c r="AG17" s="16">
        <v>1.4453020000000001</v>
      </c>
      <c r="AH17" s="16">
        <v>1.34151</v>
      </c>
      <c r="AI17" s="16">
        <v>1.2687390000000001</v>
      </c>
      <c r="AJ17" s="16">
        <v>1.2009829999999999</v>
      </c>
      <c r="AK17" s="16">
        <v>1.1069089999999999</v>
      </c>
      <c r="AL17" s="13">
        <v>-2.9239999999999999E-2</v>
      </c>
    </row>
    <row r="18" spans="1:38" ht="15" customHeight="1" x14ac:dyDescent="0.25">
      <c r="A18" s="7" t="s">
        <v>1329</v>
      </c>
      <c r="B18" s="11" t="s">
        <v>1330</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6">
        <v>0</v>
      </c>
      <c r="AL18" s="13" t="s">
        <v>9</v>
      </c>
    </row>
    <row r="19" spans="1:38" ht="15" customHeight="1" x14ac:dyDescent="0.25">
      <c r="A19" s="7" t="s">
        <v>1331</v>
      </c>
      <c r="B19" s="11" t="s">
        <v>1888</v>
      </c>
      <c r="C19" s="16">
        <v>8.7443999999999994E-2</v>
      </c>
      <c r="D19" s="16">
        <v>7.8259999999999996E-2</v>
      </c>
      <c r="E19" s="16">
        <v>7.7520000000000006E-2</v>
      </c>
      <c r="F19" s="16">
        <v>7.6934000000000002E-2</v>
      </c>
      <c r="G19" s="16">
        <v>7.6496999999999996E-2</v>
      </c>
      <c r="H19" s="16">
        <v>7.6207999999999998E-2</v>
      </c>
      <c r="I19" s="16">
        <v>7.6064000000000007E-2</v>
      </c>
      <c r="J19" s="16">
        <v>7.6064000000000007E-2</v>
      </c>
      <c r="K19" s="16">
        <v>7.6064000000000007E-2</v>
      </c>
      <c r="L19" s="16">
        <v>7.6064000000000007E-2</v>
      </c>
      <c r="M19" s="16">
        <v>7.6064000000000007E-2</v>
      </c>
      <c r="N19" s="16">
        <v>7.6064000000000007E-2</v>
      </c>
      <c r="O19" s="16">
        <v>7.6064000000000007E-2</v>
      </c>
      <c r="P19" s="16">
        <v>7.6064000000000007E-2</v>
      </c>
      <c r="Q19" s="16">
        <v>7.6064000000000007E-2</v>
      </c>
      <c r="R19" s="16">
        <v>7.6064000000000007E-2</v>
      </c>
      <c r="S19" s="16">
        <v>7.6064000000000007E-2</v>
      </c>
      <c r="T19" s="16">
        <v>7.6064000000000007E-2</v>
      </c>
      <c r="U19" s="16">
        <v>7.6064000000000007E-2</v>
      </c>
      <c r="V19" s="16">
        <v>7.6064000000000007E-2</v>
      </c>
      <c r="W19" s="16">
        <v>7.6064000000000007E-2</v>
      </c>
      <c r="X19" s="16">
        <v>7.6064000000000007E-2</v>
      </c>
      <c r="Y19" s="16">
        <v>7.6064000000000007E-2</v>
      </c>
      <c r="Z19" s="16">
        <v>7.6064000000000007E-2</v>
      </c>
      <c r="AA19" s="16">
        <v>7.6064000000000007E-2</v>
      </c>
      <c r="AB19" s="16">
        <v>7.6064000000000007E-2</v>
      </c>
      <c r="AC19" s="16">
        <v>7.6064000000000007E-2</v>
      </c>
      <c r="AD19" s="16">
        <v>7.6064000000000007E-2</v>
      </c>
      <c r="AE19" s="16">
        <v>7.6064000000000007E-2</v>
      </c>
      <c r="AF19" s="16">
        <v>7.6064000000000007E-2</v>
      </c>
      <c r="AG19" s="16">
        <v>7.6064000000000007E-2</v>
      </c>
      <c r="AH19" s="16">
        <v>7.6064000000000007E-2</v>
      </c>
      <c r="AI19" s="16">
        <v>7.6064000000000007E-2</v>
      </c>
      <c r="AJ19" s="16">
        <v>7.6064000000000007E-2</v>
      </c>
      <c r="AK19" s="16">
        <v>7.6064000000000007E-2</v>
      </c>
      <c r="AL19" s="13">
        <v>-8.6200000000000003E-4</v>
      </c>
    </row>
    <row r="20" spans="1:38" ht="15" customHeight="1" x14ac:dyDescent="0.25">
      <c r="A20" s="7" t="s">
        <v>1332</v>
      </c>
      <c r="B20" s="11" t="s">
        <v>1333</v>
      </c>
      <c r="C20" s="16">
        <v>2.334765</v>
      </c>
      <c r="D20" s="16">
        <v>3.1164900000000002</v>
      </c>
      <c r="E20" s="16">
        <v>3.787963</v>
      </c>
      <c r="F20" s="16">
        <v>4.9616259999999999</v>
      </c>
      <c r="G20" s="16">
        <v>6.2710910000000002</v>
      </c>
      <c r="H20" s="16">
        <v>6.4819490000000002</v>
      </c>
      <c r="I20" s="16">
        <v>6.8982989999999997</v>
      </c>
      <c r="J20" s="16">
        <v>7.4099380000000004</v>
      </c>
      <c r="K20" s="16">
        <v>8.0276429999999994</v>
      </c>
      <c r="L20" s="16">
        <v>8.4821010000000001</v>
      </c>
      <c r="M20" s="16">
        <v>8.7901279999999993</v>
      </c>
      <c r="N20" s="16">
        <v>9.0977060000000005</v>
      </c>
      <c r="O20" s="16">
        <v>9.2746870000000001</v>
      </c>
      <c r="P20" s="16">
        <v>9.3821220000000007</v>
      </c>
      <c r="Q20" s="16">
        <v>9.3889410000000009</v>
      </c>
      <c r="R20" s="16">
        <v>9.3876589999999993</v>
      </c>
      <c r="S20" s="16">
        <v>9.4006640000000008</v>
      </c>
      <c r="T20" s="16">
        <v>9.3839749999999995</v>
      </c>
      <c r="U20" s="16">
        <v>9.4099310000000003</v>
      </c>
      <c r="V20" s="16">
        <v>9.4187949999999994</v>
      </c>
      <c r="W20" s="16">
        <v>9.4704879999999996</v>
      </c>
      <c r="X20" s="16">
        <v>9.4962400000000002</v>
      </c>
      <c r="Y20" s="16">
        <v>9.4960710000000006</v>
      </c>
      <c r="Z20" s="16">
        <v>9.5054320000000008</v>
      </c>
      <c r="AA20" s="16">
        <v>9.5328599999999994</v>
      </c>
      <c r="AB20" s="16">
        <v>9.5172070000000009</v>
      </c>
      <c r="AC20" s="16">
        <v>9.5253510000000006</v>
      </c>
      <c r="AD20" s="16">
        <v>9.5281699999999994</v>
      </c>
      <c r="AE20" s="16">
        <v>9.5893339999999991</v>
      </c>
      <c r="AF20" s="16">
        <v>9.5719999999999992</v>
      </c>
      <c r="AG20" s="16">
        <v>9.5889279999999992</v>
      </c>
      <c r="AH20" s="16">
        <v>9.6011299999999995</v>
      </c>
      <c r="AI20" s="16">
        <v>9.6139320000000001</v>
      </c>
      <c r="AJ20" s="16">
        <v>9.5867269999999998</v>
      </c>
      <c r="AK20" s="16">
        <v>9.5794890000000006</v>
      </c>
      <c r="AL20" s="13">
        <v>3.4612999999999998E-2</v>
      </c>
    </row>
    <row r="21" spans="1:38" ht="15" customHeight="1" x14ac:dyDescent="0.25">
      <c r="A21" s="7" t="s">
        <v>1334</v>
      </c>
      <c r="B21" s="11" t="s">
        <v>1335</v>
      </c>
      <c r="C21" s="16">
        <v>0.77349999999999997</v>
      </c>
      <c r="D21" s="16">
        <v>0.88063199999999997</v>
      </c>
      <c r="E21" s="16">
        <v>0.96412799999999999</v>
      </c>
      <c r="F21" s="16">
        <v>1.015361</v>
      </c>
      <c r="G21" s="16">
        <v>1.068703</v>
      </c>
      <c r="H21" s="16">
        <v>1.1286579999999999</v>
      </c>
      <c r="I21" s="16">
        <v>1.18597</v>
      </c>
      <c r="J21" s="16">
        <v>1.2201310000000001</v>
      </c>
      <c r="K21" s="16">
        <v>1.2855510000000001</v>
      </c>
      <c r="L21" s="16">
        <v>1.301139</v>
      </c>
      <c r="M21" s="16">
        <v>1.335507</v>
      </c>
      <c r="N21" s="16">
        <v>1.3759520000000001</v>
      </c>
      <c r="O21" s="16">
        <v>1.404973</v>
      </c>
      <c r="P21" s="16">
        <v>1.4519770000000001</v>
      </c>
      <c r="Q21" s="16">
        <v>1.4750799999999999</v>
      </c>
      <c r="R21" s="16">
        <v>1.4923999999999999</v>
      </c>
      <c r="S21" s="16">
        <v>1.5141340000000001</v>
      </c>
      <c r="T21" s="16">
        <v>1.5285629999999999</v>
      </c>
      <c r="U21" s="16">
        <v>1.565051</v>
      </c>
      <c r="V21" s="16">
        <v>1.5847979999999999</v>
      </c>
      <c r="W21" s="16">
        <v>1.642223</v>
      </c>
      <c r="X21" s="16">
        <v>1.6887939999999999</v>
      </c>
      <c r="Y21" s="16">
        <v>1.706572</v>
      </c>
      <c r="Z21" s="16">
        <v>1.7317149999999999</v>
      </c>
      <c r="AA21" s="16">
        <v>1.7642340000000001</v>
      </c>
      <c r="AB21" s="16">
        <v>1.779161</v>
      </c>
      <c r="AC21" s="16">
        <v>1.8015840000000001</v>
      </c>
      <c r="AD21" s="16">
        <v>1.8217099999999999</v>
      </c>
      <c r="AE21" s="16">
        <v>1.887497</v>
      </c>
      <c r="AF21" s="16">
        <v>1.901591</v>
      </c>
      <c r="AG21" s="16">
        <v>1.9397409999999999</v>
      </c>
      <c r="AH21" s="16">
        <v>1.9736340000000001</v>
      </c>
      <c r="AI21" s="16">
        <v>2.0029569999999999</v>
      </c>
      <c r="AJ21" s="16">
        <v>2.0164900000000001</v>
      </c>
      <c r="AK21" s="16">
        <v>2.0444059999999999</v>
      </c>
      <c r="AL21" s="13">
        <v>2.5850000000000001E-2</v>
      </c>
    </row>
    <row r="22" spans="1:38" ht="15" customHeight="1" x14ac:dyDescent="0.25">
      <c r="A22" s="7" t="s">
        <v>1336</v>
      </c>
      <c r="B22" s="11" t="s">
        <v>1337</v>
      </c>
      <c r="C22" s="16">
        <v>1.3744259999999999</v>
      </c>
      <c r="D22" s="16">
        <v>1.564608</v>
      </c>
      <c r="E22" s="16">
        <v>1.7119150000000001</v>
      </c>
      <c r="F22" s="16">
        <v>2.0006650000000001</v>
      </c>
      <c r="G22" s="16">
        <v>2.1688879999999999</v>
      </c>
      <c r="H22" s="16">
        <v>2.1967910000000002</v>
      </c>
      <c r="I22" s="16">
        <v>2.3558279999999998</v>
      </c>
      <c r="J22" s="16">
        <v>2.4333070000000001</v>
      </c>
      <c r="K22" s="16">
        <v>2.5189249999999999</v>
      </c>
      <c r="L22" s="16">
        <v>2.5577960000000002</v>
      </c>
      <c r="M22" s="16">
        <v>2.5647869999999999</v>
      </c>
      <c r="N22" s="16">
        <v>2.5652529999999998</v>
      </c>
      <c r="O22" s="16">
        <v>2.5798800000000002</v>
      </c>
      <c r="P22" s="16">
        <v>2.5736439999999998</v>
      </c>
      <c r="Q22" s="16">
        <v>2.5573610000000002</v>
      </c>
      <c r="R22" s="16">
        <v>2.5387590000000002</v>
      </c>
      <c r="S22" s="16">
        <v>2.53003</v>
      </c>
      <c r="T22" s="16">
        <v>2.4989119999999998</v>
      </c>
      <c r="U22" s="16">
        <v>2.4883799999999998</v>
      </c>
      <c r="V22" s="16">
        <v>2.4774970000000001</v>
      </c>
      <c r="W22" s="16">
        <v>2.4717639999999999</v>
      </c>
      <c r="X22" s="16">
        <v>2.4509460000000001</v>
      </c>
      <c r="Y22" s="16">
        <v>2.4329990000000001</v>
      </c>
      <c r="Z22" s="16">
        <v>2.4172169999999999</v>
      </c>
      <c r="AA22" s="16">
        <v>2.4121260000000002</v>
      </c>
      <c r="AB22" s="16">
        <v>2.3815460000000002</v>
      </c>
      <c r="AC22" s="16">
        <v>2.3672659999999999</v>
      </c>
      <c r="AD22" s="16">
        <v>2.3499590000000001</v>
      </c>
      <c r="AE22" s="16">
        <v>2.3453379999999999</v>
      </c>
      <c r="AF22" s="16">
        <v>2.3139080000000001</v>
      </c>
      <c r="AG22" s="16">
        <v>2.2926869999999999</v>
      </c>
      <c r="AH22" s="16">
        <v>2.2709959999999998</v>
      </c>
      <c r="AI22" s="16">
        <v>2.2544740000000001</v>
      </c>
      <c r="AJ22" s="16">
        <v>2.2137370000000001</v>
      </c>
      <c r="AK22" s="16">
        <v>2.178582</v>
      </c>
      <c r="AL22" s="13">
        <v>1.0082000000000001E-2</v>
      </c>
    </row>
    <row r="23" spans="1:38" ht="15" customHeight="1" x14ac:dyDescent="0.25">
      <c r="A23" s="7" t="s">
        <v>1338</v>
      </c>
      <c r="B23" s="11" t="s">
        <v>1889</v>
      </c>
      <c r="C23" s="16">
        <v>0.18684000000000001</v>
      </c>
      <c r="D23" s="16">
        <v>0.67125000000000001</v>
      </c>
      <c r="E23" s="16">
        <v>1.11192</v>
      </c>
      <c r="F23" s="16">
        <v>1.9456</v>
      </c>
      <c r="G23" s="16">
        <v>3.0335000000000001</v>
      </c>
      <c r="H23" s="16">
        <v>3.1564999999999999</v>
      </c>
      <c r="I23" s="16">
        <v>3.3565</v>
      </c>
      <c r="J23" s="16">
        <v>3.7565</v>
      </c>
      <c r="K23" s="16">
        <v>4.2231670000000001</v>
      </c>
      <c r="L23" s="16">
        <v>4.6231669999999996</v>
      </c>
      <c r="M23" s="16">
        <v>4.8898339999999996</v>
      </c>
      <c r="N23" s="16">
        <v>5.1565000000000003</v>
      </c>
      <c r="O23" s="16">
        <v>5.2898339999999999</v>
      </c>
      <c r="P23" s="16">
        <v>5.3564999999999996</v>
      </c>
      <c r="Q23" s="16">
        <v>5.3564999999999996</v>
      </c>
      <c r="R23" s="16">
        <v>5.3564999999999996</v>
      </c>
      <c r="S23" s="16">
        <v>5.3564999999999996</v>
      </c>
      <c r="T23" s="16">
        <v>5.3564999999999996</v>
      </c>
      <c r="U23" s="16">
        <v>5.3564999999999996</v>
      </c>
      <c r="V23" s="16">
        <v>5.3564999999999996</v>
      </c>
      <c r="W23" s="16">
        <v>5.3564999999999996</v>
      </c>
      <c r="X23" s="16">
        <v>5.3564999999999996</v>
      </c>
      <c r="Y23" s="16">
        <v>5.3564999999999996</v>
      </c>
      <c r="Z23" s="16">
        <v>5.3564999999999996</v>
      </c>
      <c r="AA23" s="16">
        <v>5.3564999999999996</v>
      </c>
      <c r="AB23" s="16">
        <v>5.3564999999999996</v>
      </c>
      <c r="AC23" s="16">
        <v>5.3564999999999996</v>
      </c>
      <c r="AD23" s="16">
        <v>5.3564999999999996</v>
      </c>
      <c r="AE23" s="16">
        <v>5.3564999999999996</v>
      </c>
      <c r="AF23" s="16">
        <v>5.3564999999999996</v>
      </c>
      <c r="AG23" s="16">
        <v>5.3564999999999996</v>
      </c>
      <c r="AH23" s="16">
        <v>5.3564999999999996</v>
      </c>
      <c r="AI23" s="16">
        <v>5.3564999999999996</v>
      </c>
      <c r="AJ23" s="16">
        <v>5.3564999999999996</v>
      </c>
      <c r="AK23" s="16">
        <v>5.3564999999999996</v>
      </c>
      <c r="AL23" s="13">
        <v>6.4960000000000004E-2</v>
      </c>
    </row>
    <row r="24" spans="1:38" ht="15" customHeight="1" x14ac:dyDescent="0.25">
      <c r="A24" s="7" t="s">
        <v>1339</v>
      </c>
      <c r="B24" s="11" t="s">
        <v>1109</v>
      </c>
      <c r="C24" s="16">
        <v>0.69134200000000001</v>
      </c>
      <c r="D24" s="16">
        <v>-9.0915999999999997E-2</v>
      </c>
      <c r="E24" s="16">
        <v>-0.72594700000000001</v>
      </c>
      <c r="F24" s="16">
        <v>-2.0963129999999999</v>
      </c>
      <c r="G24" s="16">
        <v>-3.5472600000000001</v>
      </c>
      <c r="H24" s="16">
        <v>-3.8339750000000001</v>
      </c>
      <c r="I24" s="16">
        <v>-4.2728849999999996</v>
      </c>
      <c r="J24" s="16">
        <v>-4.7549380000000001</v>
      </c>
      <c r="K24" s="16">
        <v>-5.4265660000000002</v>
      </c>
      <c r="L24" s="16">
        <v>-5.8865309999999997</v>
      </c>
      <c r="M24" s="16">
        <v>-6.2453539999999998</v>
      </c>
      <c r="N24" s="16">
        <v>-6.5854249999999999</v>
      </c>
      <c r="O24" s="16">
        <v>-6.7938010000000002</v>
      </c>
      <c r="P24" s="16">
        <v>-6.929843</v>
      </c>
      <c r="Q24" s="16">
        <v>-6.9934380000000003</v>
      </c>
      <c r="R24" s="16">
        <v>-7.0104059999999997</v>
      </c>
      <c r="S24" s="16">
        <v>-7.0333639999999997</v>
      </c>
      <c r="T24" s="16">
        <v>-7.0558189999999996</v>
      </c>
      <c r="U24" s="16">
        <v>-7.1423439999999996</v>
      </c>
      <c r="V24" s="16">
        <v>-7.1918360000000003</v>
      </c>
      <c r="W24" s="16">
        <v>-7.2891320000000004</v>
      </c>
      <c r="X24" s="16">
        <v>-7.398072</v>
      </c>
      <c r="Y24" s="16">
        <v>-7.4291410000000004</v>
      </c>
      <c r="Z24" s="16">
        <v>-7.4939999999999998</v>
      </c>
      <c r="AA24" s="16">
        <v>-7.5714689999999996</v>
      </c>
      <c r="AB24" s="16">
        <v>-7.5967099999999999</v>
      </c>
      <c r="AC24" s="16">
        <v>-7.6599120000000003</v>
      </c>
      <c r="AD24" s="16">
        <v>-7.7217359999999999</v>
      </c>
      <c r="AE24" s="16">
        <v>-7.9045189999999996</v>
      </c>
      <c r="AF24" s="16">
        <v>-7.9545300000000001</v>
      </c>
      <c r="AG24" s="16">
        <v>-8.0675620000000006</v>
      </c>
      <c r="AH24" s="16">
        <v>-8.1835579999999997</v>
      </c>
      <c r="AI24" s="16">
        <v>-8.2691289999999995</v>
      </c>
      <c r="AJ24" s="16">
        <v>-8.3096809999999994</v>
      </c>
      <c r="AK24" s="16">
        <v>-8.3965160000000001</v>
      </c>
      <c r="AL24" s="13">
        <v>0.14698900000000001</v>
      </c>
    </row>
    <row r="25" spans="1:38" ht="15" customHeight="1" x14ac:dyDescent="0.25">
      <c r="A25" s="7" t="s">
        <v>1340</v>
      </c>
      <c r="B25" s="11" t="s">
        <v>1341</v>
      </c>
      <c r="C25" s="16">
        <v>2.1651639999999999</v>
      </c>
      <c r="D25" s="16">
        <v>2.0666820000000001</v>
      </c>
      <c r="E25" s="16">
        <v>2.0203669999999998</v>
      </c>
      <c r="F25" s="16">
        <v>1.773018</v>
      </c>
      <c r="G25" s="16">
        <v>1.5786309999999999</v>
      </c>
      <c r="H25" s="16">
        <v>1.443109</v>
      </c>
      <c r="I25" s="16">
        <v>1.3633789999999999</v>
      </c>
      <c r="J25" s="16">
        <v>1.358806</v>
      </c>
      <c r="K25" s="16">
        <v>1.239463</v>
      </c>
      <c r="L25" s="16">
        <v>1.2183679999999999</v>
      </c>
      <c r="M25" s="16">
        <v>1.1332040000000001</v>
      </c>
      <c r="N25" s="16">
        <v>1.060265</v>
      </c>
      <c r="O25" s="16">
        <v>0.99984899999999999</v>
      </c>
      <c r="P25" s="16">
        <v>0.924238</v>
      </c>
      <c r="Q25" s="16">
        <v>0.84435899999999997</v>
      </c>
      <c r="R25" s="16">
        <v>0.80879000000000001</v>
      </c>
      <c r="S25" s="16">
        <v>0.77710299999999999</v>
      </c>
      <c r="T25" s="16">
        <v>0.72353000000000001</v>
      </c>
      <c r="U25" s="16">
        <v>0.62647200000000003</v>
      </c>
      <c r="V25" s="16">
        <v>0.56609699999999996</v>
      </c>
      <c r="W25" s="16">
        <v>0.46306799999999998</v>
      </c>
      <c r="X25" s="16">
        <v>0.33331100000000002</v>
      </c>
      <c r="Y25" s="16">
        <v>0.28429500000000002</v>
      </c>
      <c r="Z25" s="16">
        <v>0.203654</v>
      </c>
      <c r="AA25" s="16">
        <v>0.12109300000000001</v>
      </c>
      <c r="AB25" s="16">
        <v>6.5271999999999997E-2</v>
      </c>
      <c r="AC25" s="16">
        <v>-1.221E-2</v>
      </c>
      <c r="AD25" s="16">
        <v>-9.1340000000000005E-2</v>
      </c>
      <c r="AE25" s="16">
        <v>-0.27874399999999999</v>
      </c>
      <c r="AF25" s="16">
        <v>-0.36018499999999998</v>
      </c>
      <c r="AG25" s="16">
        <v>-0.49443900000000002</v>
      </c>
      <c r="AH25" s="16">
        <v>-0.63212400000000002</v>
      </c>
      <c r="AI25" s="16">
        <v>-0.73421800000000004</v>
      </c>
      <c r="AJ25" s="16">
        <v>-0.81550699999999998</v>
      </c>
      <c r="AK25" s="16">
        <v>-0.93749700000000002</v>
      </c>
      <c r="AL25" s="13" t="s">
        <v>9</v>
      </c>
    </row>
    <row r="26" spans="1:38" ht="15" customHeight="1" x14ac:dyDescent="0.25">
      <c r="A26" s="7" t="s">
        <v>1342</v>
      </c>
      <c r="B26" s="11" t="s">
        <v>1343</v>
      </c>
      <c r="C26" s="16">
        <v>-1.3744259999999999</v>
      </c>
      <c r="D26" s="16">
        <v>-1.564608</v>
      </c>
      <c r="E26" s="16">
        <v>-1.7119150000000001</v>
      </c>
      <c r="F26" s="16">
        <v>-2.0006650000000001</v>
      </c>
      <c r="G26" s="16">
        <v>-2.1688879999999999</v>
      </c>
      <c r="H26" s="16">
        <v>-2.1967910000000002</v>
      </c>
      <c r="I26" s="16">
        <v>-2.3558279999999998</v>
      </c>
      <c r="J26" s="16">
        <v>-2.4333070000000001</v>
      </c>
      <c r="K26" s="16">
        <v>-2.5189249999999999</v>
      </c>
      <c r="L26" s="16">
        <v>-2.5577960000000002</v>
      </c>
      <c r="M26" s="16">
        <v>-2.5647869999999999</v>
      </c>
      <c r="N26" s="16">
        <v>-2.5652529999999998</v>
      </c>
      <c r="O26" s="16">
        <v>-2.5798800000000002</v>
      </c>
      <c r="P26" s="16">
        <v>-2.5736439999999998</v>
      </c>
      <c r="Q26" s="16">
        <v>-2.5573610000000002</v>
      </c>
      <c r="R26" s="16">
        <v>-2.5387590000000002</v>
      </c>
      <c r="S26" s="16">
        <v>-2.53003</v>
      </c>
      <c r="T26" s="16">
        <v>-2.4989119999999998</v>
      </c>
      <c r="U26" s="16">
        <v>-2.4883799999999998</v>
      </c>
      <c r="V26" s="16">
        <v>-2.4774970000000001</v>
      </c>
      <c r="W26" s="16">
        <v>-2.4717639999999999</v>
      </c>
      <c r="X26" s="16">
        <v>-2.4509460000000001</v>
      </c>
      <c r="Y26" s="16">
        <v>-2.4329990000000001</v>
      </c>
      <c r="Z26" s="16">
        <v>-2.4172169999999999</v>
      </c>
      <c r="AA26" s="16">
        <v>-2.4121260000000002</v>
      </c>
      <c r="AB26" s="16">
        <v>-2.3815460000000002</v>
      </c>
      <c r="AC26" s="16">
        <v>-2.3672659999999999</v>
      </c>
      <c r="AD26" s="16">
        <v>-2.3499590000000001</v>
      </c>
      <c r="AE26" s="16">
        <v>-2.3453379999999999</v>
      </c>
      <c r="AF26" s="16">
        <v>-2.3139080000000001</v>
      </c>
      <c r="AG26" s="16">
        <v>-2.2926869999999999</v>
      </c>
      <c r="AH26" s="16">
        <v>-2.2709959999999998</v>
      </c>
      <c r="AI26" s="16">
        <v>-2.2544740000000001</v>
      </c>
      <c r="AJ26" s="16">
        <v>-2.2137370000000001</v>
      </c>
      <c r="AK26" s="16">
        <v>-2.178582</v>
      </c>
      <c r="AL26" s="13">
        <v>1.0082000000000001E-2</v>
      </c>
    </row>
    <row r="27" spans="1:38" ht="15" customHeight="1" x14ac:dyDescent="0.25">
      <c r="A27" s="7" t="s">
        <v>1344</v>
      </c>
      <c r="B27" s="11" t="s">
        <v>1113</v>
      </c>
      <c r="C27" s="16">
        <v>-9.9395999999999998E-2</v>
      </c>
      <c r="D27" s="16">
        <v>-0.59299000000000002</v>
      </c>
      <c r="E27" s="16">
        <v>-1.0344</v>
      </c>
      <c r="F27" s="16">
        <v>-1.8686670000000001</v>
      </c>
      <c r="G27" s="16">
        <v>-2.9570029999999998</v>
      </c>
      <c r="H27" s="16">
        <v>-3.080292</v>
      </c>
      <c r="I27" s="16">
        <v>-3.280437</v>
      </c>
      <c r="J27" s="16">
        <v>-3.680437</v>
      </c>
      <c r="K27" s="16">
        <v>-4.1471030000000004</v>
      </c>
      <c r="L27" s="16">
        <v>-4.5471029999999999</v>
      </c>
      <c r="M27" s="16">
        <v>-4.8137699999999999</v>
      </c>
      <c r="N27" s="16">
        <v>-5.0804369999999999</v>
      </c>
      <c r="O27" s="16">
        <v>-5.2137700000000002</v>
      </c>
      <c r="P27" s="16">
        <v>-5.280437</v>
      </c>
      <c r="Q27" s="16">
        <v>-5.280437</v>
      </c>
      <c r="R27" s="16">
        <v>-5.280437</v>
      </c>
      <c r="S27" s="16">
        <v>-5.280437</v>
      </c>
      <c r="T27" s="16">
        <v>-5.280437</v>
      </c>
      <c r="U27" s="16">
        <v>-5.280437</v>
      </c>
      <c r="V27" s="16">
        <v>-5.280437</v>
      </c>
      <c r="W27" s="16">
        <v>-5.280437</v>
      </c>
      <c r="X27" s="16">
        <v>-5.280437</v>
      </c>
      <c r="Y27" s="16">
        <v>-5.280437</v>
      </c>
      <c r="Z27" s="16">
        <v>-5.280437</v>
      </c>
      <c r="AA27" s="16">
        <v>-5.280437</v>
      </c>
      <c r="AB27" s="16">
        <v>-5.280437</v>
      </c>
      <c r="AC27" s="16">
        <v>-5.280437</v>
      </c>
      <c r="AD27" s="16">
        <v>-5.280437</v>
      </c>
      <c r="AE27" s="16">
        <v>-5.280437</v>
      </c>
      <c r="AF27" s="16">
        <v>-5.280437</v>
      </c>
      <c r="AG27" s="16">
        <v>-5.280437</v>
      </c>
      <c r="AH27" s="16">
        <v>-5.280437</v>
      </c>
      <c r="AI27" s="16">
        <v>-5.280437</v>
      </c>
      <c r="AJ27" s="16">
        <v>-5.280437</v>
      </c>
      <c r="AK27" s="16">
        <v>-5.280437</v>
      </c>
      <c r="AL27" s="13">
        <v>6.8504999999999996E-2</v>
      </c>
    </row>
    <row r="28" spans="1:38" ht="15" customHeight="1" thickBot="1" x14ac:dyDescent="0.3"/>
    <row r="29" spans="1:38" ht="15" customHeight="1" x14ac:dyDescent="0.25">
      <c r="B29" s="369" t="s">
        <v>1345</v>
      </c>
      <c r="C29" s="369"/>
      <c r="D29" s="369"/>
      <c r="E29" s="369"/>
      <c r="F29" s="369"/>
      <c r="G29" s="369"/>
      <c r="H29" s="369"/>
      <c r="I29" s="369"/>
      <c r="J29" s="369"/>
      <c r="K29" s="369"/>
      <c r="L29" s="369"/>
      <c r="M29" s="369"/>
      <c r="N29" s="369"/>
      <c r="O29" s="369"/>
      <c r="P29" s="369"/>
      <c r="Q29" s="369"/>
      <c r="R29" s="369"/>
      <c r="S29" s="369"/>
      <c r="T29" s="369"/>
      <c r="U29" s="369"/>
      <c r="V29" s="369"/>
      <c r="W29" s="369"/>
      <c r="X29" s="369"/>
      <c r="Y29" s="369"/>
      <c r="Z29" s="369"/>
      <c r="AA29" s="369"/>
      <c r="AB29" s="369"/>
      <c r="AC29" s="369"/>
      <c r="AD29" s="369"/>
      <c r="AE29" s="369"/>
      <c r="AF29" s="369"/>
      <c r="AG29" s="369"/>
      <c r="AH29" s="369"/>
      <c r="AI29" s="369"/>
      <c r="AJ29" s="369"/>
      <c r="AK29" s="369"/>
      <c r="AL29" s="369"/>
    </row>
    <row r="30" spans="1:38" ht="15" customHeight="1" x14ac:dyDescent="0.25">
      <c r="B30" s="18" t="s">
        <v>193</v>
      </c>
    </row>
    <row r="31" spans="1:38" ht="15" customHeight="1" x14ac:dyDescent="0.25">
      <c r="B31" s="18" t="s">
        <v>1756</v>
      </c>
    </row>
    <row r="32" spans="1:38" ht="15" customHeight="1" x14ac:dyDescent="0.25">
      <c r="B32" s="18" t="s">
        <v>458</v>
      </c>
    </row>
    <row r="33" spans="2:2" ht="15" customHeight="1" x14ac:dyDescent="0.25">
      <c r="B33" s="18" t="s">
        <v>1890</v>
      </c>
    </row>
    <row r="34" spans="2:2" ht="15" customHeight="1" x14ac:dyDescent="0.25">
      <c r="B34" s="18" t="s">
        <v>1891</v>
      </c>
    </row>
    <row r="35" spans="2:2" ht="15" customHeight="1" x14ac:dyDescent="0.25">
      <c r="B35" s="18" t="s">
        <v>1892</v>
      </c>
    </row>
    <row r="36" spans="2:2" ht="15" customHeight="1" x14ac:dyDescent="0.25"/>
    <row r="37" spans="2:2" ht="15" customHeight="1" x14ac:dyDescent="0.25"/>
    <row r="38" spans="2:2" ht="15" customHeight="1" x14ac:dyDescent="0.25"/>
    <row r="39" spans="2:2" ht="15" customHeight="1" x14ac:dyDescent="0.25"/>
    <row r="40" spans="2:2" ht="15" customHeight="1" x14ac:dyDescent="0.25"/>
    <row r="41" spans="2:2" ht="15" customHeight="1" x14ac:dyDescent="0.25"/>
    <row r="42" spans="2:2" ht="15" customHeight="1" x14ac:dyDescent="0.25"/>
    <row r="43" spans="2:2" ht="15" customHeight="1" x14ac:dyDescent="0.25"/>
    <row r="44" spans="2:2" ht="15" customHeight="1" x14ac:dyDescent="0.25"/>
    <row r="45" spans="2:2" ht="15" customHeight="1" x14ac:dyDescent="0.25"/>
    <row r="46" spans="2:2" ht="15" customHeight="1" x14ac:dyDescent="0.25"/>
    <row r="47" spans="2:2" ht="15" customHeight="1" x14ac:dyDescent="0.25"/>
    <row r="48" spans="2:2" ht="15" customHeight="1" x14ac:dyDescent="0.25"/>
  </sheetData>
  <mergeCells count="1">
    <mergeCell ref="B29:AL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11"/>
  <sheetViews>
    <sheetView workbookViewId="0">
      <selection activeCell="B11" sqref="B11"/>
    </sheetView>
  </sheetViews>
  <sheetFormatPr defaultRowHeight="15" x14ac:dyDescent="0.25"/>
  <cols>
    <col min="1" max="1" width="50.42578125" customWidth="1"/>
    <col min="2" max="2" width="45.28515625" customWidth="1"/>
    <col min="3" max="3" width="20" customWidth="1"/>
  </cols>
  <sheetData>
    <row r="1" spans="1:37" x14ac:dyDescent="0.25">
      <c r="A1" s="55" t="s">
        <v>805</v>
      </c>
      <c r="B1" s="55"/>
    </row>
    <row r="2" spans="1:37" x14ac:dyDescent="0.25">
      <c r="A2" t="s">
        <v>895</v>
      </c>
      <c r="B2">
        <v>76000</v>
      </c>
    </row>
    <row r="4" spans="1:37" x14ac:dyDescent="0.25">
      <c r="A4" s="55" t="s">
        <v>797</v>
      </c>
      <c r="B4" s="55"/>
    </row>
    <row r="5" spans="1:37" x14ac:dyDescent="0.25">
      <c r="A5" t="s">
        <v>1</v>
      </c>
      <c r="B5">
        <v>0.51</v>
      </c>
      <c r="C5" s="3"/>
    </row>
    <row r="6" spans="1:37" x14ac:dyDescent="0.25">
      <c r="A6" t="s">
        <v>2</v>
      </c>
      <c r="B6">
        <f>1.02*B5</f>
        <v>0.5202</v>
      </c>
      <c r="C6" s="3"/>
    </row>
    <row r="8" spans="1:37" x14ac:dyDescent="0.25">
      <c r="A8" s="55" t="s">
        <v>555</v>
      </c>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row>
    <row r="9" spans="1:37" x14ac:dyDescent="0.25">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7" x14ac:dyDescent="0.25">
      <c r="A10" t="s">
        <v>3</v>
      </c>
      <c r="B10" s="2">
        <f>$B$2*1000*$B$6*('AEO 2018_Table 24'!C47/'AEO 2018_Table 24'!$C$47)</f>
        <v>39535200</v>
      </c>
      <c r="C10" s="2">
        <f>$B$2*1000*$B$6*('AEO 2018_Table 24'!D47/'AEO 2018_Table 24'!$C$47)</f>
        <v>39987265.552000217</v>
      </c>
      <c r="D10" s="2">
        <f>$B$2*1000*$B$6*('AEO 2018_Table 24'!E47/'AEO 2018_Table 24'!$C$47)</f>
        <v>41472930.918625236</v>
      </c>
      <c r="E10" s="2">
        <f>$B$2*1000*$B$6*('AEO 2018_Table 24'!F47/'AEO 2018_Table 24'!$C$47)</f>
        <v>43513475.558774598</v>
      </c>
      <c r="F10" s="2">
        <f>$B$2*1000*$B$6*('AEO 2018_Table 24'!G47/'AEO 2018_Table 24'!$C$47)</f>
        <v>44670741.135768905</v>
      </c>
      <c r="G10" s="2">
        <f>$B$2*1000*$B$6*('AEO 2018_Table 24'!H47/'AEO 2018_Table 24'!$C$47)</f>
        <v>46133733.595087327</v>
      </c>
      <c r="H10" s="2">
        <f>$B$2*1000*$B$6*('AEO 2018_Table 24'!I47/'AEO 2018_Table 24'!$C$47)</f>
        <v>47162080.692132473</v>
      </c>
      <c r="I10" s="2">
        <f>$B$2*1000*$B$6*('AEO 2018_Table 24'!J47/'AEO 2018_Table 24'!$C$47)</f>
        <v>47680897.166507035</v>
      </c>
      <c r="J10" s="2">
        <f>$B$2*1000*$B$6*('AEO 2018_Table 24'!K47/'AEO 2018_Table 24'!$C$47)</f>
        <v>48392501.42276185</v>
      </c>
      <c r="K10" s="2">
        <f>$B$2*1000*$B$6*('AEO 2018_Table 24'!L47/'AEO 2018_Table 24'!$C$47)</f>
        <v>48936038.570151709</v>
      </c>
      <c r="L10" s="2">
        <f>$B$2*1000*$B$6*('AEO 2018_Table 24'!M47/'AEO 2018_Table 24'!$C$47)</f>
        <v>49574975.506153576</v>
      </c>
      <c r="M10" s="2">
        <f>$B$2*1000*$B$6*('AEO 2018_Table 24'!N47/'AEO 2018_Table 24'!$C$47)</f>
        <v>50208600.163523316</v>
      </c>
      <c r="N10" s="2">
        <f>$B$2*1000*$B$6*('AEO 2018_Table 24'!O47/'AEO 2018_Table 24'!$C$47)</f>
        <v>50703214.996911258</v>
      </c>
      <c r="O10" s="2">
        <f>$B$2*1000*$B$6*('AEO 2018_Table 24'!P47/'AEO 2018_Table 24'!$C$47)</f>
        <v>51488947.237324812</v>
      </c>
      <c r="P10" s="2">
        <f>$B$2*1000*$B$6*('AEO 2018_Table 24'!Q47/'AEO 2018_Table 24'!$C$47)</f>
        <v>52466159.752704889</v>
      </c>
      <c r="Q10" s="2">
        <f>$B$2*1000*$B$6*('AEO 2018_Table 24'!R47/'AEO 2018_Table 24'!$C$47)</f>
        <v>53506884.203701228</v>
      </c>
      <c r="R10" s="2">
        <f>$B$2*1000*$B$6*('AEO 2018_Table 24'!S47/'AEO 2018_Table 24'!$C$47)</f>
        <v>53827960.820118837</v>
      </c>
      <c r="S10" s="2">
        <f>$B$2*1000*$B$6*('AEO 2018_Table 24'!T47/'AEO 2018_Table 24'!$C$47)</f>
        <v>54696979.265568413</v>
      </c>
      <c r="T10" s="2">
        <f>$B$2*1000*$B$6*('AEO 2018_Table 24'!U47/'AEO 2018_Table 24'!$C$47)</f>
        <v>55899865.772513494</v>
      </c>
      <c r="U10" s="2">
        <f>$B$2*1000*$B$6*('AEO 2018_Table 24'!V47/'AEO 2018_Table 24'!$C$47)</f>
        <v>57118799.728738122</v>
      </c>
      <c r="V10" s="2">
        <f>$B$2*1000*$B$6*('AEO 2018_Table 24'!W47/'AEO 2018_Table 24'!$C$47)</f>
        <v>58241621.999961697</v>
      </c>
      <c r="W10" s="2">
        <f>$B$2*1000*$B$6*('AEO 2018_Table 24'!X47/'AEO 2018_Table 24'!$C$47)</f>
        <v>59150532.169362627</v>
      </c>
      <c r="X10" s="2">
        <f>$B$2*1000*$B$6*('AEO 2018_Table 24'!Y47/'AEO 2018_Table 24'!$C$47)</f>
        <v>60436665.173975416</v>
      </c>
      <c r="Y10" s="2">
        <f>$B$2*1000*$B$6*('AEO 2018_Table 24'!Z47/'AEO 2018_Table 24'!$C$47)</f>
        <v>61354518.009968512</v>
      </c>
      <c r="Z10" s="2">
        <f>$B$2*1000*$B$6*('AEO 2018_Table 24'!AA47/'AEO 2018_Table 24'!$C$47)</f>
        <v>62580119.967829086</v>
      </c>
      <c r="AA10" s="2">
        <f>$B$2*1000*$B$6*('AEO 2018_Table 24'!AB47/'AEO 2018_Table 24'!$C$47)</f>
        <v>63969784.262836218</v>
      </c>
      <c r="AB10" s="2">
        <f>$B$2*1000*$B$6*('AEO 2018_Table 24'!AC47/'AEO 2018_Table 24'!$C$47)</f>
        <v>64924737.962036386</v>
      </c>
      <c r="AC10" s="2">
        <f>$B$2*1000*$B$6*('AEO 2018_Table 24'!AD47/'AEO 2018_Table 24'!$C$47)</f>
        <v>66185208.661756761</v>
      </c>
      <c r="AD10" s="2">
        <f>$B$2*1000*$B$6*('AEO 2018_Table 24'!AE47/'AEO 2018_Table 24'!$C$47)</f>
        <v>67623236.531368837</v>
      </c>
      <c r="AE10" s="2">
        <f>$B$2*1000*$B$6*('AEO 2018_Table 24'!AF47/'AEO 2018_Table 24'!$C$47)</f>
        <v>69033469.243161976</v>
      </c>
      <c r="AF10" s="2">
        <f>$B$2*1000*$B$6*('AEO 2018_Table 24'!AG47/'AEO 2018_Table 24'!$C$47)</f>
        <v>70606621.287142396</v>
      </c>
      <c r="AG10" s="2">
        <f>$B$2*1000*$B$6*('AEO 2018_Table 24'!AH47/'AEO 2018_Table 24'!$C$47)</f>
        <v>71749765.222220317</v>
      </c>
      <c r="AH10" s="2">
        <f>$B$2*1000*$B$6*('AEO 2018_Table 24'!AI47/'AEO 2018_Table 24'!$C$47)</f>
        <v>72791975.863287792</v>
      </c>
      <c r="AI10" s="2">
        <f>$B$2*1000*$B$6*('AEO 2018_Table 24'!AJ47/'AEO 2018_Table 24'!$C$47)</f>
        <v>73670132.6759305</v>
      </c>
      <c r="AJ10" s="2">
        <f>$B$2*1000*$B$6*('AEO 2018_Table 24'!AK47/'AEO 2018_Table 24'!$C$47)</f>
        <v>74623591.676337764</v>
      </c>
    </row>
    <row r="11" spans="1:37" x14ac:dyDescent="0.25">
      <c r="A11" t="s">
        <v>4</v>
      </c>
      <c r="B11" s="2">
        <f>B10/10^6</f>
        <v>39.535200000000003</v>
      </c>
      <c r="C11" s="2">
        <f t="shared" ref="C11:AJ11" si="0">C10/10^6</f>
        <v>39.987265552000217</v>
      </c>
      <c r="D11" s="2">
        <f t="shared" si="0"/>
        <v>41.472930918625238</v>
      </c>
      <c r="E11" s="2">
        <f t="shared" si="0"/>
        <v>43.513475558774601</v>
      </c>
      <c r="F11" s="2">
        <f t="shared" si="0"/>
        <v>44.670741135768907</v>
      </c>
      <c r="G11" s="2">
        <f t="shared" si="0"/>
        <v>46.133733595087328</v>
      </c>
      <c r="H11" s="2">
        <f t="shared" si="0"/>
        <v>47.16208069213247</v>
      </c>
      <c r="I11" s="2">
        <f t="shared" si="0"/>
        <v>47.680897166507037</v>
      </c>
      <c r="J11" s="2">
        <f t="shared" si="0"/>
        <v>48.392501422761853</v>
      </c>
      <c r="K11" s="2">
        <f t="shared" si="0"/>
        <v>48.936038570151709</v>
      </c>
      <c r="L11" s="2">
        <f t="shared" si="0"/>
        <v>49.574975506153578</v>
      </c>
      <c r="M11" s="2">
        <f t="shared" si="0"/>
        <v>50.208600163523315</v>
      </c>
      <c r="N11" s="2">
        <f t="shared" si="0"/>
        <v>50.703214996911257</v>
      </c>
      <c r="O11" s="2">
        <f t="shared" si="0"/>
        <v>51.488947237324808</v>
      </c>
      <c r="P11" s="2">
        <f t="shared" si="0"/>
        <v>52.46615975270489</v>
      </c>
      <c r="Q11" s="2">
        <f t="shared" si="0"/>
        <v>53.506884203701226</v>
      </c>
      <c r="R11" s="2">
        <f t="shared" si="0"/>
        <v>53.82796082011884</v>
      </c>
      <c r="S11" s="2">
        <f t="shared" si="0"/>
        <v>54.696979265568416</v>
      </c>
      <c r="T11" s="2">
        <f t="shared" si="0"/>
        <v>55.899865772513493</v>
      </c>
      <c r="U11" s="2">
        <f t="shared" si="0"/>
        <v>57.118799728738125</v>
      </c>
      <c r="V11" s="2">
        <f t="shared" si="0"/>
        <v>58.241621999961694</v>
      </c>
      <c r="W11" s="2">
        <f t="shared" si="0"/>
        <v>59.150532169362627</v>
      </c>
      <c r="X11" s="2">
        <f t="shared" si="0"/>
        <v>60.436665173975413</v>
      </c>
      <c r="Y11" s="2">
        <f t="shared" si="0"/>
        <v>61.354518009968508</v>
      </c>
      <c r="Z11" s="2">
        <f t="shared" si="0"/>
        <v>62.580119967829084</v>
      </c>
      <c r="AA11" s="2">
        <f t="shared" si="0"/>
        <v>63.969784262836221</v>
      </c>
      <c r="AB11" s="2">
        <f t="shared" si="0"/>
        <v>64.924737962036389</v>
      </c>
      <c r="AC11" s="2">
        <f t="shared" si="0"/>
        <v>66.185208661756761</v>
      </c>
      <c r="AD11" s="2">
        <f t="shared" si="0"/>
        <v>67.623236531368832</v>
      </c>
      <c r="AE11" s="2">
        <f t="shared" si="0"/>
        <v>69.033469243161974</v>
      </c>
      <c r="AF11" s="2">
        <f t="shared" si="0"/>
        <v>70.606621287142403</v>
      </c>
      <c r="AG11" s="2">
        <f t="shared" si="0"/>
        <v>71.749765222220319</v>
      </c>
      <c r="AH11" s="2">
        <f t="shared" si="0"/>
        <v>72.791975863287789</v>
      </c>
      <c r="AI11" s="2">
        <f t="shared" si="0"/>
        <v>73.670132675930503</v>
      </c>
      <c r="AJ11" s="2">
        <f t="shared" si="0"/>
        <v>74.623591676337767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9"/>
  <sheetViews>
    <sheetView workbookViewId="0">
      <selection activeCell="C8" sqref="C8"/>
    </sheetView>
  </sheetViews>
  <sheetFormatPr defaultRowHeight="15" x14ac:dyDescent="0.25"/>
  <cols>
    <col min="1" max="1" width="37.140625" bestFit="1" customWidth="1"/>
  </cols>
  <sheetData>
    <row r="1" spans="1:37" x14ac:dyDescent="0.25">
      <c r="A1" s="55" t="s">
        <v>322</v>
      </c>
      <c r="B1" s="55"/>
    </row>
    <row r="2" spans="1:37" x14ac:dyDescent="0.25">
      <c r="A2" t="s">
        <v>470</v>
      </c>
      <c r="B2">
        <v>1327</v>
      </c>
    </row>
    <row r="3" spans="1:37" x14ac:dyDescent="0.25">
      <c r="A3" t="s">
        <v>471</v>
      </c>
      <c r="B3">
        <v>40979</v>
      </c>
    </row>
    <row r="4" spans="1:37" x14ac:dyDescent="0.25">
      <c r="A4" t="s">
        <v>472</v>
      </c>
      <c r="B4">
        <v>0.3</v>
      </c>
    </row>
    <row r="6" spans="1:37" x14ac:dyDescent="0.25">
      <c r="A6" s="55" t="s">
        <v>555</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25">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7" x14ac:dyDescent="0.25">
      <c r="A8" t="s">
        <v>463</v>
      </c>
      <c r="B8" s="65">
        <f>(SUM($B$2:$B$3)/('AEO 2018_Table 19'!C55/'AEO 2018_Table 19'!$C$55))/1000</f>
        <v>42.305999999999997</v>
      </c>
      <c r="C8" s="65">
        <f>(SUM($B$2:$B$3)/('AEO 2018_Table 19'!D55/'AEO 2018_Table 19'!$C$55))/1000</f>
        <v>39.788562276404619</v>
      </c>
      <c r="D8" s="65">
        <f>(SUM($B$2:$B$3)/('AEO 2018_Table 19'!E55/'AEO 2018_Table 19'!$C$55))/1000</f>
        <v>43.642732171668705</v>
      </c>
      <c r="E8" s="65">
        <f>(SUM($B$2:$B$3)/('AEO 2018_Table 19'!F55/'AEO 2018_Table 19'!$C$55))/1000</f>
        <v>43.187536478101599</v>
      </c>
      <c r="F8" s="65">
        <f>(SUM($B$2:$B$3)/('AEO 2018_Table 19'!G55/'AEO 2018_Table 19'!$C$55))/1000</f>
        <v>41.510386490541485</v>
      </c>
      <c r="G8" s="65">
        <f>(SUM($B$2:$B$3)/('AEO 2018_Table 19'!H55/'AEO 2018_Table 19'!$C$55))/1000</f>
        <v>42.552106385063382</v>
      </c>
      <c r="H8" s="65">
        <f>(SUM($B$2:$B$3)/('AEO 2018_Table 19'!I55/'AEO 2018_Table 19'!$C$55))/1000</f>
        <v>43.960501594920935</v>
      </c>
      <c r="I8" s="65">
        <f>(SUM($B$2:$B$3)/('AEO 2018_Table 19'!J55/'AEO 2018_Table 19'!$C$55))/1000</f>
        <v>43.929644037631419</v>
      </c>
      <c r="J8" s="65">
        <f>(SUM($B$2:$B$3)/('AEO 2018_Table 19'!K55/'AEO 2018_Table 19'!$C$55))/1000</f>
        <v>43.112415181139845</v>
      </c>
      <c r="K8" s="65">
        <f>(SUM($B$2:$B$3)/('AEO 2018_Table 19'!L55/'AEO 2018_Table 19'!$C$55))/1000</f>
        <v>42.490486254392366</v>
      </c>
      <c r="L8" s="65">
        <f>(SUM($B$2:$B$3)/('AEO 2018_Table 19'!M55/'AEO 2018_Table 19'!$C$55))/1000</f>
        <v>42.040906915704639</v>
      </c>
      <c r="M8" s="65">
        <f>(SUM($B$2:$B$3)/('AEO 2018_Table 19'!N55/'AEO 2018_Table 19'!$C$55))/1000</f>
        <v>41.526114170851891</v>
      </c>
      <c r="N8" s="65">
        <f>(SUM($B$2:$B$3)/('AEO 2018_Table 19'!O55/'AEO 2018_Table 19'!$C$55))/1000</f>
        <v>41.128604396015163</v>
      </c>
      <c r="O8" s="65">
        <f>(SUM($B$2:$B$3)/('AEO 2018_Table 19'!P55/'AEO 2018_Table 19'!$C$55))/1000</f>
        <v>41.119409472314892</v>
      </c>
      <c r="P8" s="65">
        <f>(SUM($B$2:$B$3)/('AEO 2018_Table 19'!Q55/'AEO 2018_Table 19'!$C$55))/1000</f>
        <v>40.580274105571661</v>
      </c>
      <c r="Q8" s="65">
        <f>(SUM($B$2:$B$3)/('AEO 2018_Table 19'!R55/'AEO 2018_Table 19'!$C$55))/1000</f>
        <v>40.274119320916427</v>
      </c>
      <c r="R8" s="65">
        <f>(SUM($B$2:$B$3)/('AEO 2018_Table 19'!S55/'AEO 2018_Table 19'!$C$55))/1000</f>
        <v>40.11520014911293</v>
      </c>
      <c r="S8" s="65">
        <f>(SUM($B$2:$B$3)/('AEO 2018_Table 19'!T55/'AEO 2018_Table 19'!$C$55))/1000</f>
        <v>39.688832740559157</v>
      </c>
      <c r="T8" s="65">
        <f>(SUM($B$2:$B$3)/('AEO 2018_Table 19'!U55/'AEO 2018_Table 19'!$C$55))/1000</f>
        <v>39.336469087238015</v>
      </c>
      <c r="U8" s="65">
        <f>(SUM($B$2:$B$3)/('AEO 2018_Table 19'!V55/'AEO 2018_Table 19'!$C$55))/1000</f>
        <v>38.922734450756607</v>
      </c>
      <c r="V8" s="65">
        <f>(SUM($B$2:$B$3)/('AEO 2018_Table 19'!W55/'AEO 2018_Table 19'!$C$55))/1000</f>
        <v>38.704727746564572</v>
      </c>
      <c r="W8" s="65">
        <f>(SUM($B$2:$B$3)/('AEO 2018_Table 19'!X55/'AEO 2018_Table 19'!$C$55))/1000</f>
        <v>38.269076888807732</v>
      </c>
      <c r="X8" s="65">
        <f>(SUM($B$2:$B$3)/('AEO 2018_Table 19'!Y55/'AEO 2018_Table 19'!$C$55))/1000</f>
        <v>38.400244179809491</v>
      </c>
      <c r="Y8" s="65">
        <f>(SUM($B$2:$B$3)/('AEO 2018_Table 19'!Z55/'AEO 2018_Table 19'!$C$55))/1000</f>
        <v>38.608360716984834</v>
      </c>
      <c r="Z8" s="65">
        <f>(SUM($B$2:$B$3)/('AEO 2018_Table 19'!AA55/'AEO 2018_Table 19'!$C$55))/1000</f>
        <v>38.587050621819955</v>
      </c>
      <c r="AA8" s="65">
        <f>(SUM($B$2:$B$3)/('AEO 2018_Table 19'!AB55/'AEO 2018_Table 19'!$C$55))/1000</f>
        <v>38.380157858947712</v>
      </c>
      <c r="AB8" s="65">
        <f>(SUM($B$2:$B$3)/('AEO 2018_Table 19'!AC55/'AEO 2018_Table 19'!$C$55))/1000</f>
        <v>38.371433029386075</v>
      </c>
      <c r="AC8" s="65">
        <f>(SUM($B$2:$B$3)/('AEO 2018_Table 19'!AD55/'AEO 2018_Table 19'!$C$55))/1000</f>
        <v>38.528675585119984</v>
      </c>
      <c r="AD8" s="65">
        <f>(SUM($B$2:$B$3)/('AEO 2018_Table 19'!AE55/'AEO 2018_Table 19'!$C$55))/1000</f>
        <v>38.924696149556077</v>
      </c>
      <c r="AE8" s="65">
        <f>(SUM($B$2:$B$3)/('AEO 2018_Table 19'!AF55/'AEO 2018_Table 19'!$C$55))/1000</f>
        <v>39.287491261168007</v>
      </c>
      <c r="AF8" s="65">
        <f>(SUM($B$2:$B$3)/('AEO 2018_Table 19'!AG55/'AEO 2018_Table 19'!$C$55))/1000</f>
        <v>39.629979738921243</v>
      </c>
      <c r="AG8" s="65">
        <f>(SUM($B$2:$B$3)/('AEO 2018_Table 19'!AH55/'AEO 2018_Table 19'!$C$55))/1000</f>
        <v>39.728969017314625</v>
      </c>
      <c r="AH8" s="65">
        <f>(SUM($B$2:$B$3)/('AEO 2018_Table 19'!AI55/'AEO 2018_Table 19'!$C$55))/1000</f>
        <v>39.608470936369827</v>
      </c>
      <c r="AI8" s="65">
        <f>(SUM($B$2:$B$3)/('AEO 2018_Table 19'!AJ55/'AEO 2018_Table 19'!$C$55))/1000</f>
        <v>39.834231269381512</v>
      </c>
      <c r="AJ8" s="65">
        <f>(SUM($B$2:$B$3)/('AEO 2018_Table 19'!AK55/'AEO 2018_Table 19'!$C$55))/1000</f>
        <v>40.317856503067169</v>
      </c>
    </row>
    <row r="9" spans="1:37" x14ac:dyDescent="0.25">
      <c r="A9" t="s">
        <v>462</v>
      </c>
      <c r="B9" s="65">
        <f>$B$4/('AEO 2018_Table 19'!C55/'AEO 2018_Table 19'!$C$55)</f>
        <v>0.3</v>
      </c>
      <c r="C9" s="65">
        <f>$B$4/('AEO 2018_Table 19'!D55/'AEO 2018_Table 19'!$C$55)</f>
        <v>0.28214836389451581</v>
      </c>
      <c r="D9" s="65">
        <f>$B$4/('AEO 2018_Table 19'!E55/'AEO 2018_Table 19'!$C$55)</f>
        <v>0.30947902546921502</v>
      </c>
      <c r="E9" s="65">
        <f>$B$4/('AEO 2018_Table 19'!F55/'AEO 2018_Table 19'!$C$55)</f>
        <v>0.30625114507234147</v>
      </c>
      <c r="F9" s="65">
        <f>$B$4/('AEO 2018_Table 19'!G55/'AEO 2018_Table 19'!$C$55)</f>
        <v>0.2943581512589809</v>
      </c>
      <c r="G9" s="65">
        <f>$B$4/('AEO 2018_Table 19'!H55/'AEO 2018_Table 19'!$C$55)</f>
        <v>0.30174518781068915</v>
      </c>
      <c r="H9" s="65">
        <f>$B$4/('AEO 2018_Table 19'!I55/'AEO 2018_Table 19'!$C$55)</f>
        <v>0.31173238969593625</v>
      </c>
      <c r="I9" s="65">
        <f>$B$4/('AEO 2018_Table 19'!J55/'AEO 2018_Table 19'!$C$55)</f>
        <v>0.31151357280975339</v>
      </c>
      <c r="J9" s="65">
        <f>$B$4/('AEO 2018_Table 19'!K55/'AEO 2018_Table 19'!$C$55)</f>
        <v>0.30571844547681071</v>
      </c>
      <c r="K9" s="65">
        <f>$B$4/('AEO 2018_Table 19'!L55/'AEO 2018_Table 19'!$C$55)</f>
        <v>0.30130822758752207</v>
      </c>
      <c r="L9" s="65">
        <f>$B$4/('AEO 2018_Table 19'!M55/'AEO 2018_Table 19'!$C$55)</f>
        <v>0.2981201738455867</v>
      </c>
      <c r="M9" s="65">
        <f>$B$4/('AEO 2018_Table 19'!N55/'AEO 2018_Table 19'!$C$55)</f>
        <v>0.29446967927139334</v>
      </c>
      <c r="N9" s="65">
        <f>$B$4/('AEO 2018_Table 19'!O55/'AEO 2018_Table 19'!$C$55)</f>
        <v>0.29165086084254122</v>
      </c>
      <c r="O9" s="65">
        <f>$B$4/('AEO 2018_Table 19'!P55/'AEO 2018_Table 19'!$C$55)</f>
        <v>0.2915856578663657</v>
      </c>
      <c r="P9" s="65">
        <f>$B$4/('AEO 2018_Table 19'!Q55/'AEO 2018_Table 19'!$C$55)</f>
        <v>0.28776254506858362</v>
      </c>
      <c r="Q9" s="65">
        <f>$B$4/('AEO 2018_Table 19'!R55/'AEO 2018_Table 19'!$C$55)</f>
        <v>0.28559154248274304</v>
      </c>
      <c r="R9" s="65">
        <f>$B$4/('AEO 2018_Table 19'!S55/'AEO 2018_Table 19'!$C$55)</f>
        <v>0.28446461600562278</v>
      </c>
      <c r="S9" s="65">
        <f>$B$4/('AEO 2018_Table 19'!T55/'AEO 2018_Table 19'!$C$55)</f>
        <v>0.28144116253410262</v>
      </c>
      <c r="T9" s="65">
        <f>$B$4/('AEO 2018_Table 19'!U55/'AEO 2018_Table 19'!$C$55)</f>
        <v>0.27894248395431864</v>
      </c>
      <c r="U9" s="65">
        <f>$B$4/('AEO 2018_Table 19'!V55/'AEO 2018_Table 19'!$C$55)</f>
        <v>0.27600861190438664</v>
      </c>
      <c r="V9" s="65">
        <f>$B$4/('AEO 2018_Table 19'!W55/'AEO 2018_Table 19'!$C$55)</f>
        <v>0.27446268434664989</v>
      </c>
      <c r="W9" s="65">
        <f>$B$4/('AEO 2018_Table 19'!X55/'AEO 2018_Table 19'!$C$55)</f>
        <v>0.27137340014755162</v>
      </c>
      <c r="X9" s="65">
        <f>$B$4/('AEO 2018_Table 19'!Y55/'AEO 2018_Table 19'!$C$55)</f>
        <v>0.27230353268904756</v>
      </c>
      <c r="Y9" s="65">
        <f>$B$4/('AEO 2018_Table 19'!Z55/'AEO 2018_Table 19'!$C$55)</f>
        <v>0.27377932716625186</v>
      </c>
      <c r="Z9" s="65">
        <f>$B$4/('AEO 2018_Table 19'!AA55/'AEO 2018_Table 19'!$C$55)</f>
        <v>0.27362821317415936</v>
      </c>
      <c r="AA9" s="65">
        <f>$B$4/('AEO 2018_Table 19'!AB55/'AEO 2018_Table 19'!$C$55)</f>
        <v>0.27216109671640698</v>
      </c>
      <c r="AB9" s="65">
        <f>$B$4/('AEO 2018_Table 19'!AC55/'AEO 2018_Table 19'!$C$55)</f>
        <v>0.27209922726837382</v>
      </c>
      <c r="AC9" s="65">
        <f>$B$4/('AEO 2018_Table 19'!AD55/'AEO 2018_Table 19'!$C$55)</f>
        <v>0.27321426453779596</v>
      </c>
      <c r="AD9" s="65">
        <f>$B$4/('AEO 2018_Table 19'!AE55/'AEO 2018_Table 19'!$C$55)</f>
        <v>0.27602252268866884</v>
      </c>
      <c r="AE9" s="65">
        <f>$B$4/('AEO 2018_Table 19'!AF55/'AEO 2018_Table 19'!$C$55)</f>
        <v>0.27859517274973761</v>
      </c>
      <c r="AF9" s="65">
        <f>$B$4/('AEO 2018_Table 19'!AG55/'AEO 2018_Table 19'!$C$55)</f>
        <v>0.28102382455624192</v>
      </c>
      <c r="AG9" s="65">
        <f>$B$4/('AEO 2018_Table 19'!AH55/'AEO 2018_Table 19'!$C$55)</f>
        <v>0.28172577660838616</v>
      </c>
      <c r="AH9" s="65">
        <f>$B$4/('AEO 2018_Table 19'!AI55/'AEO 2018_Table 19'!$C$55)</f>
        <v>0.28087130149177297</v>
      </c>
      <c r="AI9" s="65">
        <f>$B$4/('AEO 2018_Table 19'!AJ55/'AEO 2018_Table 19'!$C$55)</f>
        <v>0.28247221152589352</v>
      </c>
      <c r="AJ9" s="65">
        <f>$B$4/('AEO 2018_Table 19'!AK55/'AEO 2018_Table 19'!$C$55)</f>
        <v>0.28590169127121801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45"/>
  <sheetViews>
    <sheetView topLeftCell="A16" zoomScaleNormal="100" workbookViewId="0">
      <selection activeCell="B38" sqref="B38"/>
    </sheetView>
  </sheetViews>
  <sheetFormatPr defaultRowHeight="15" x14ac:dyDescent="0.25"/>
  <cols>
    <col min="1" max="1" width="23" customWidth="1"/>
  </cols>
  <sheetData>
    <row r="1" spans="1:13" x14ac:dyDescent="0.25">
      <c r="A1" s="55" t="s">
        <v>1092</v>
      </c>
      <c r="B1" s="55"/>
      <c r="C1" s="55"/>
      <c r="D1" s="55"/>
      <c r="E1" s="55"/>
      <c r="F1" s="55"/>
      <c r="G1" s="55"/>
      <c r="H1" s="55"/>
      <c r="I1" s="55"/>
      <c r="J1" s="55"/>
      <c r="K1" s="55"/>
      <c r="L1" s="55"/>
      <c r="M1" s="55"/>
    </row>
    <row r="2" spans="1:13" x14ac:dyDescent="0.25">
      <c r="A2" s="28" t="s">
        <v>230</v>
      </c>
      <c r="B2" s="29"/>
      <c r="C2" s="29"/>
      <c r="D2" s="29"/>
      <c r="E2" s="29"/>
      <c r="F2" s="29"/>
      <c r="G2" s="29"/>
    </row>
    <row r="3" spans="1:13" ht="37.5" customHeight="1" x14ac:dyDescent="0.25">
      <c r="A3" s="53" t="s">
        <v>240</v>
      </c>
      <c r="B3" s="53" t="s">
        <v>241</v>
      </c>
      <c r="C3" s="53" t="s">
        <v>242</v>
      </c>
      <c r="D3" s="53" t="s">
        <v>243</v>
      </c>
      <c r="E3" s="53" t="s">
        <v>244</v>
      </c>
      <c r="F3" s="53" t="s">
        <v>245</v>
      </c>
      <c r="G3" s="53" t="s">
        <v>246</v>
      </c>
    </row>
    <row r="4" spans="1:13" x14ac:dyDescent="0.25">
      <c r="A4" s="31">
        <v>1990</v>
      </c>
      <c r="B4" s="49">
        <v>1683</v>
      </c>
      <c r="C4" s="50">
        <v>384244</v>
      </c>
      <c r="D4" s="31">
        <v>1656</v>
      </c>
      <c r="E4" s="31">
        <v>546808</v>
      </c>
      <c r="F4" s="31">
        <v>3339</v>
      </c>
      <c r="G4" s="31">
        <v>931052</v>
      </c>
    </row>
    <row r="5" spans="1:13" x14ac:dyDescent="0.25">
      <c r="A5" s="32"/>
      <c r="B5" s="32"/>
      <c r="C5" s="32"/>
      <c r="D5" s="32"/>
      <c r="E5" s="32"/>
      <c r="F5" s="32"/>
      <c r="G5" s="32"/>
    </row>
    <row r="6" spans="1:13" x14ac:dyDescent="0.25">
      <c r="A6" s="20">
        <v>2005</v>
      </c>
      <c r="B6" s="30">
        <v>586</v>
      </c>
      <c r="C6" s="51">
        <v>334398</v>
      </c>
      <c r="D6" s="20">
        <v>789</v>
      </c>
      <c r="E6" s="20">
        <v>691448</v>
      </c>
      <c r="F6" s="20">
        <v>1398</v>
      </c>
      <c r="G6" s="20">
        <v>1025846</v>
      </c>
    </row>
    <row r="7" spans="1:13" x14ac:dyDescent="0.25">
      <c r="A7" s="33"/>
      <c r="B7" s="33"/>
      <c r="C7" s="33"/>
      <c r="D7" s="33"/>
      <c r="E7" s="33"/>
      <c r="F7" s="33"/>
      <c r="G7" s="33"/>
    </row>
    <row r="8" spans="1:13" x14ac:dyDescent="0.25">
      <c r="A8" s="20">
        <v>2012</v>
      </c>
      <c r="B8" s="30">
        <v>488</v>
      </c>
      <c r="C8" s="51">
        <v>310608</v>
      </c>
      <c r="D8" s="20">
        <v>719</v>
      </c>
      <c r="E8" s="20">
        <v>610307</v>
      </c>
      <c r="F8" s="20">
        <v>1207</v>
      </c>
      <c r="G8" s="20">
        <v>920915</v>
      </c>
    </row>
    <row r="9" spans="1:13" x14ac:dyDescent="0.25">
      <c r="A9" s="20">
        <v>2013</v>
      </c>
      <c r="B9" s="30">
        <v>395</v>
      </c>
      <c r="C9" s="51">
        <v>309546</v>
      </c>
      <c r="D9" s="20">
        <v>637</v>
      </c>
      <c r="E9" s="20">
        <v>581270</v>
      </c>
      <c r="F9" s="20">
        <v>1032</v>
      </c>
      <c r="G9" s="20">
        <v>890815</v>
      </c>
    </row>
    <row r="10" spans="1:13" x14ac:dyDescent="0.25">
      <c r="A10" s="20">
        <v>2014</v>
      </c>
      <c r="B10" s="30">
        <v>345</v>
      </c>
      <c r="C10" s="51">
        <v>321783</v>
      </c>
      <c r="D10" s="20">
        <v>613</v>
      </c>
      <c r="E10" s="20">
        <v>583974</v>
      </c>
      <c r="F10" s="20">
        <v>958</v>
      </c>
      <c r="G10" s="20">
        <v>905757</v>
      </c>
    </row>
    <row r="11" spans="1:13" x14ac:dyDescent="0.25">
      <c r="A11" s="20">
        <v>2015</v>
      </c>
      <c r="B11" s="30">
        <v>305</v>
      </c>
      <c r="C11" s="51">
        <v>278342</v>
      </c>
      <c r="D11" s="20">
        <v>529</v>
      </c>
      <c r="E11" s="20">
        <v>534127</v>
      </c>
      <c r="F11" s="20">
        <v>834</v>
      </c>
      <c r="G11" s="20">
        <v>812469</v>
      </c>
    </row>
    <row r="12" spans="1:13" x14ac:dyDescent="0.25">
      <c r="A12" s="21">
        <v>2016</v>
      </c>
      <c r="B12" s="19">
        <v>251</v>
      </c>
      <c r="C12" s="52">
        <v>228403</v>
      </c>
      <c r="D12" s="21">
        <v>439</v>
      </c>
      <c r="E12" s="21">
        <v>431485</v>
      </c>
      <c r="F12" s="21">
        <v>690</v>
      </c>
      <c r="G12" s="21">
        <v>659888</v>
      </c>
    </row>
    <row r="13" spans="1:13" x14ac:dyDescent="0.25">
      <c r="A13" s="25"/>
      <c r="B13" s="29"/>
      <c r="C13" s="29"/>
      <c r="D13" s="29"/>
      <c r="E13" s="29"/>
      <c r="F13" s="29"/>
      <c r="G13" s="29"/>
    </row>
    <row r="14" spans="1:13" x14ac:dyDescent="0.25">
      <c r="A14" s="55" t="s">
        <v>773</v>
      </c>
      <c r="B14" s="55"/>
      <c r="C14" s="55"/>
      <c r="D14" s="55"/>
      <c r="E14" s="55"/>
      <c r="F14" s="55"/>
      <c r="G14" s="55"/>
      <c r="H14" s="55"/>
      <c r="I14" s="55"/>
      <c r="J14" s="55"/>
      <c r="K14" s="55"/>
      <c r="L14" s="55"/>
      <c r="M14" s="55"/>
    </row>
    <row r="15" spans="1:13" x14ac:dyDescent="0.25">
      <c r="A15" s="29" t="s">
        <v>231</v>
      </c>
      <c r="B15" s="29"/>
      <c r="C15" s="29"/>
      <c r="D15" s="29"/>
      <c r="E15" s="29"/>
      <c r="F15" s="29"/>
      <c r="G15" s="29"/>
      <c r="H15" s="29"/>
      <c r="I15" s="29"/>
      <c r="J15" s="29"/>
      <c r="K15" s="29"/>
      <c r="L15" s="29"/>
    </row>
    <row r="16" spans="1:13" x14ac:dyDescent="0.25">
      <c r="A16" s="22" t="s">
        <v>232</v>
      </c>
      <c r="B16" s="36">
        <v>1990</v>
      </c>
      <c r="C16" s="37"/>
      <c r="D16" s="36">
        <v>2005</v>
      </c>
      <c r="E16" s="38"/>
      <c r="F16" s="36">
        <v>2012</v>
      </c>
      <c r="G16" s="36">
        <v>2013</v>
      </c>
      <c r="H16" s="36">
        <v>2014</v>
      </c>
      <c r="I16" s="36">
        <v>2015</v>
      </c>
      <c r="J16" s="36">
        <v>2016</v>
      </c>
    </row>
    <row r="17" spans="1:11" x14ac:dyDescent="0.25">
      <c r="A17" s="31" t="s">
        <v>233</v>
      </c>
      <c r="B17" s="39">
        <v>2968</v>
      </c>
      <c r="C17" s="40"/>
      <c r="D17" s="39">
        <v>1682</v>
      </c>
      <c r="E17" s="41"/>
      <c r="F17" s="39">
        <v>1891</v>
      </c>
      <c r="G17" s="39">
        <v>1849</v>
      </c>
      <c r="H17" s="39">
        <v>1844</v>
      </c>
      <c r="I17" s="39">
        <v>1796</v>
      </c>
      <c r="J17" s="39">
        <v>1629</v>
      </c>
    </row>
    <row r="18" spans="1:11" x14ac:dyDescent="0.25">
      <c r="A18" s="20" t="s">
        <v>234</v>
      </c>
      <c r="B18" s="42">
        <v>3234</v>
      </c>
      <c r="C18" s="43"/>
      <c r="D18" s="42">
        <v>2390</v>
      </c>
      <c r="E18" s="44"/>
      <c r="F18" s="42">
        <v>2631</v>
      </c>
      <c r="G18" s="42">
        <v>2580</v>
      </c>
      <c r="H18" s="42">
        <v>2524</v>
      </c>
      <c r="I18" s="42">
        <v>2450</v>
      </c>
      <c r="J18" s="42">
        <v>2282</v>
      </c>
    </row>
    <row r="19" spans="1:11" x14ac:dyDescent="0.25">
      <c r="A19" s="20" t="s">
        <v>235</v>
      </c>
      <c r="B19" s="45">
        <v>-266</v>
      </c>
      <c r="C19" s="43"/>
      <c r="D19" s="45">
        <v>-708</v>
      </c>
      <c r="E19" s="44"/>
      <c r="F19" s="45">
        <v>-740</v>
      </c>
      <c r="G19" s="45">
        <v>-730</v>
      </c>
      <c r="H19" s="45">
        <v>-680</v>
      </c>
      <c r="I19" s="45">
        <v>-654</v>
      </c>
      <c r="J19" s="45">
        <v>-654</v>
      </c>
    </row>
    <row r="20" spans="1:11" x14ac:dyDescent="0.25">
      <c r="A20" s="20" t="s">
        <v>236</v>
      </c>
      <c r="B20" s="34">
        <v>430</v>
      </c>
      <c r="C20" s="43"/>
      <c r="D20" s="34">
        <v>475</v>
      </c>
      <c r="E20" s="44"/>
      <c r="F20" s="34">
        <v>410</v>
      </c>
      <c r="G20" s="34">
        <v>388</v>
      </c>
      <c r="H20" s="34">
        <v>386</v>
      </c>
      <c r="I20" s="34">
        <v>347</v>
      </c>
      <c r="J20" s="34">
        <v>273</v>
      </c>
    </row>
    <row r="21" spans="1:11" x14ac:dyDescent="0.25">
      <c r="A21" s="20" t="s">
        <v>237</v>
      </c>
      <c r="B21" s="34">
        <v>368</v>
      </c>
      <c r="C21" s="43"/>
      <c r="D21" s="34">
        <v>306</v>
      </c>
      <c r="E21" s="44"/>
      <c r="F21" s="34">
        <v>268</v>
      </c>
      <c r="G21" s="34">
        <v>263</v>
      </c>
      <c r="H21" s="34">
        <v>270</v>
      </c>
      <c r="I21" s="34">
        <v>231</v>
      </c>
      <c r="J21" s="34">
        <v>192</v>
      </c>
    </row>
    <row r="22" spans="1:11" x14ac:dyDescent="0.25">
      <c r="A22" s="21" t="s">
        <v>238</v>
      </c>
      <c r="B22" s="35">
        <v>93</v>
      </c>
      <c r="C22" s="46"/>
      <c r="D22" s="35">
        <v>103</v>
      </c>
      <c r="E22" s="47"/>
      <c r="F22" s="35">
        <v>89</v>
      </c>
      <c r="G22" s="35">
        <v>84</v>
      </c>
      <c r="H22" s="35">
        <v>84</v>
      </c>
      <c r="I22" s="35">
        <v>75</v>
      </c>
      <c r="J22" s="35">
        <v>59</v>
      </c>
    </row>
    <row r="23" spans="1:11" x14ac:dyDescent="0.25">
      <c r="A23" s="22" t="s">
        <v>225</v>
      </c>
      <c r="B23" s="48">
        <v>3860</v>
      </c>
      <c r="C23" s="37"/>
      <c r="D23" s="48">
        <v>2565</v>
      </c>
      <c r="E23" s="38"/>
      <c r="F23" s="48">
        <v>2658</v>
      </c>
      <c r="G23" s="48">
        <v>2584</v>
      </c>
      <c r="H23" s="48">
        <v>2583</v>
      </c>
      <c r="I23" s="48">
        <v>2449</v>
      </c>
      <c r="J23" s="48">
        <v>2153</v>
      </c>
    </row>
    <row r="24" spans="1:11" ht="15" customHeight="1" x14ac:dyDescent="0.25">
      <c r="A24" s="57" t="s">
        <v>239</v>
      </c>
      <c r="B24" s="56"/>
      <c r="C24" s="56"/>
      <c r="D24" s="56"/>
      <c r="E24" s="56"/>
      <c r="F24" s="56"/>
      <c r="G24" s="56"/>
      <c r="H24" s="56"/>
      <c r="I24" s="56"/>
      <c r="J24" s="56"/>
    </row>
    <row r="26" spans="1:11" x14ac:dyDescent="0.25">
      <c r="A26" s="55" t="s">
        <v>249</v>
      </c>
      <c r="B26" s="55"/>
      <c r="C26" s="55"/>
      <c r="D26" s="55"/>
      <c r="E26" s="55"/>
      <c r="F26" s="55"/>
      <c r="G26" s="55"/>
      <c r="H26" s="55"/>
      <c r="I26" s="55"/>
      <c r="J26" s="55"/>
      <c r="K26" s="55"/>
    </row>
    <row r="27" spans="1:11" x14ac:dyDescent="0.25">
      <c r="B27" s="36">
        <f>F16</f>
        <v>2012</v>
      </c>
      <c r="C27" s="36">
        <f t="shared" ref="C27:F27" si="0">G16</f>
        <v>2013</v>
      </c>
      <c r="D27" s="36">
        <f t="shared" si="0"/>
        <v>2014</v>
      </c>
      <c r="E27" s="36">
        <f t="shared" si="0"/>
        <v>2015</v>
      </c>
      <c r="F27" s="36">
        <f t="shared" si="0"/>
        <v>2016</v>
      </c>
      <c r="G27" t="s">
        <v>1893</v>
      </c>
    </row>
    <row r="28" spans="1:11" ht="14.25" customHeight="1" x14ac:dyDescent="0.25">
      <c r="A28" t="s">
        <v>247</v>
      </c>
      <c r="B28">
        <f>SUM(INDEX($F$18:$J$18,1,MATCH(B$27,$F$16:$J$16,0)),INDEX($F$21:$J$21,1,MATCH(B$27,$F$16:$J$16,0)))/INDEX($C$8:$C$12,MATCH(B$27,$A$8:$A$12,0),1)</f>
        <v>9.3333075773965896E-3</v>
      </c>
      <c r="C28">
        <f t="shared" ref="C28:F28" si="1">SUM(INDEX($F$18:$J$18,1,MATCH(C$27,$F$16:$J$16,0)),INDEX($F$21:$J$21,1,MATCH(C$27,$F$16:$J$16,0)))/INDEX($C$8:$C$12,MATCH(C$27,$A$8:$A$12,0),1)</f>
        <v>9.1844184709219314E-3</v>
      </c>
      <c r="D28">
        <f t="shared" si="1"/>
        <v>8.682870132977815E-3</v>
      </c>
      <c r="E28">
        <f t="shared" si="1"/>
        <v>9.6320354096758667E-3</v>
      </c>
      <c r="F28">
        <f t="shared" si="1"/>
        <v>1.0831731632246511E-2</v>
      </c>
      <c r="G28">
        <f>AVERAGE(B28:F28)</f>
        <v>9.5328726446437424E-3</v>
      </c>
    </row>
    <row r="29" spans="1:11" x14ac:dyDescent="0.25">
      <c r="A29" t="s">
        <v>248</v>
      </c>
      <c r="B29">
        <f>SUM(INDEX($F$20:$J$20,1,MATCH(B$27,$F$16:$J$16,0)),INDEX($F$22:$J$22,1,MATCH(B$27,$F$16:$J$16,0)))/INDEX($E$8:$E$12,MATCH(B$27,$A$8:$A$12,0),1)</f>
        <v>8.1762129551193083E-4</v>
      </c>
      <c r="C29">
        <f t="shared" ref="C29:F29" si="2">SUM(INDEX($F$20:$J$20,1,MATCH(C$27,$F$16:$J$16,0)),INDEX($F$22:$J$22,1,MATCH(C$27,$F$16:$J$16,0)))/INDEX($E$8:$E$12,MATCH(C$27,$A$8:$A$12,0),1)</f>
        <v>8.1201507044918882E-4</v>
      </c>
      <c r="D29">
        <f t="shared" si="2"/>
        <v>8.0483035203622079E-4</v>
      </c>
      <c r="E29">
        <f t="shared" si="2"/>
        <v>7.9007427072587605E-4</v>
      </c>
      <c r="F29">
        <f t="shared" si="2"/>
        <v>7.6943578571676884E-4</v>
      </c>
      <c r="G29">
        <f>AVERAGE(B29:F29)</f>
        <v>7.9879535488799717E-4</v>
      </c>
    </row>
    <row r="31" spans="1:11" x14ac:dyDescent="0.25">
      <c r="A31" s="55" t="s">
        <v>266</v>
      </c>
      <c r="B31" s="55"/>
      <c r="C31" s="55"/>
      <c r="D31" s="55"/>
      <c r="E31" s="55"/>
      <c r="F31" s="55"/>
      <c r="G31" s="55"/>
      <c r="H31" s="55"/>
      <c r="I31" s="55"/>
      <c r="J31" s="55"/>
      <c r="K31" s="55"/>
    </row>
    <row r="32" spans="1:11" x14ac:dyDescent="0.25">
      <c r="B32" s="36">
        <f>B27</f>
        <v>2012</v>
      </c>
      <c r="C32" s="36">
        <f t="shared" ref="C32:F32" si="3">C27</f>
        <v>2013</v>
      </c>
      <c r="D32" s="36">
        <f t="shared" si="3"/>
        <v>2014</v>
      </c>
      <c r="E32" s="36">
        <f t="shared" si="3"/>
        <v>2015</v>
      </c>
      <c r="F32" s="36">
        <f t="shared" si="3"/>
        <v>2016</v>
      </c>
      <c r="G32" t="s">
        <v>250</v>
      </c>
    </row>
    <row r="33" spans="1:37" x14ac:dyDescent="0.25">
      <c r="A33" t="s">
        <v>265</v>
      </c>
      <c r="B33">
        <f>ABS(F19)/SUM(F18,F21)</f>
        <v>0.25526043463263193</v>
      </c>
      <c r="C33">
        <f t="shared" ref="C33:F33" si="4">ABS(G19)/SUM(G18,G21)</f>
        <v>0.2567710165318326</v>
      </c>
      <c r="D33">
        <f t="shared" si="4"/>
        <v>0.24337866857551896</v>
      </c>
      <c r="E33">
        <f t="shared" si="4"/>
        <v>0.24393882879522566</v>
      </c>
      <c r="F33">
        <f t="shared" si="4"/>
        <v>0.26434923201293453</v>
      </c>
      <c r="G33">
        <f>AVERAGE(B33:F33)</f>
        <v>0.25273963610962874</v>
      </c>
    </row>
    <row r="36" spans="1:37" x14ac:dyDescent="0.25">
      <c r="A36" s="55" t="s">
        <v>269</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row>
    <row r="37" spans="1:37" x14ac:dyDescent="0.25">
      <c r="A37" t="s">
        <v>270</v>
      </c>
      <c r="B37" s="54">
        <v>2016</v>
      </c>
      <c r="C37" s="54">
        <v>2017</v>
      </c>
      <c r="D37" s="54">
        <v>2018</v>
      </c>
      <c r="E37" s="54">
        <v>2019</v>
      </c>
      <c r="F37" s="54">
        <v>2020</v>
      </c>
      <c r="G37" s="54">
        <v>2021</v>
      </c>
      <c r="H37" s="54">
        <v>2022</v>
      </c>
      <c r="I37" s="54">
        <v>2023</v>
      </c>
      <c r="J37" s="54">
        <v>2024</v>
      </c>
      <c r="K37" s="54">
        <v>2025</v>
      </c>
      <c r="L37" s="54">
        <v>2026</v>
      </c>
      <c r="M37" s="54">
        <v>2027</v>
      </c>
      <c r="N37" s="54">
        <v>2028</v>
      </c>
      <c r="O37" s="54">
        <v>2029</v>
      </c>
      <c r="P37" s="54">
        <v>2030</v>
      </c>
      <c r="Q37" s="54">
        <v>2031</v>
      </c>
      <c r="R37" s="54">
        <v>2032</v>
      </c>
      <c r="S37" s="54">
        <v>2033</v>
      </c>
      <c r="T37" s="54">
        <v>2034</v>
      </c>
      <c r="U37" s="54">
        <v>2035</v>
      </c>
      <c r="V37" s="54">
        <v>2036</v>
      </c>
      <c r="W37" s="54">
        <v>2037</v>
      </c>
      <c r="X37" s="54">
        <v>2038</v>
      </c>
      <c r="Y37" s="54">
        <v>2039</v>
      </c>
      <c r="Z37" s="54">
        <v>2040</v>
      </c>
      <c r="AA37" s="54">
        <v>2041</v>
      </c>
      <c r="AB37" s="54">
        <v>2042</v>
      </c>
      <c r="AC37" s="54">
        <v>2043</v>
      </c>
      <c r="AD37" s="54">
        <v>2044</v>
      </c>
      <c r="AE37" s="54">
        <v>2045</v>
      </c>
      <c r="AF37" s="54">
        <v>2046</v>
      </c>
      <c r="AG37" s="54">
        <v>2047</v>
      </c>
      <c r="AH37" s="54">
        <v>2048</v>
      </c>
      <c r="AI37" s="54">
        <v>2049</v>
      </c>
      <c r="AJ37" s="54">
        <v>2050</v>
      </c>
    </row>
    <row r="38" spans="1:37" x14ac:dyDescent="0.25">
      <c r="A38" t="s">
        <v>267</v>
      </c>
      <c r="B38" s="2">
        <f>'AEO 2018_Table 67'!C81</f>
        <v>257.124664</v>
      </c>
      <c r="C38" s="2">
        <f>'AEO 2018_Table 67'!D81</f>
        <v>283.41012599999999</v>
      </c>
      <c r="D38" s="2">
        <f>'AEO 2018_Table 67'!E81</f>
        <v>256.21856700000001</v>
      </c>
      <c r="E38" s="2">
        <f>'AEO 2018_Table 67'!F81</f>
        <v>258.09609999999998</v>
      </c>
      <c r="F38" s="2">
        <f>'AEO 2018_Table 67'!G81</f>
        <v>269.28604100000001</v>
      </c>
      <c r="G38" s="2">
        <f>'AEO 2018_Table 67'!H81</f>
        <v>263.00027499999999</v>
      </c>
      <c r="H38" s="2">
        <f>'AEO 2018_Table 67'!I81</f>
        <v>266.12301600000001</v>
      </c>
      <c r="I38" s="2">
        <f>'AEO 2018_Table 67'!J81</f>
        <v>272.19311499999998</v>
      </c>
      <c r="J38" s="2">
        <f>'AEO 2018_Table 67'!K81</f>
        <v>276.73983800000002</v>
      </c>
      <c r="K38" s="2">
        <f>'AEO 2018_Table 67'!L81</f>
        <v>268.18899499999998</v>
      </c>
      <c r="L38" s="2">
        <f>'AEO 2018_Table 67'!M81</f>
        <v>267.73397799999998</v>
      </c>
      <c r="M38" s="2">
        <f>'AEO 2018_Table 67'!N81</f>
        <v>265.12771600000002</v>
      </c>
      <c r="N38" s="2">
        <f>'AEO 2018_Table 67'!O81</f>
        <v>267.23358200000001</v>
      </c>
      <c r="O38" s="2">
        <f>'AEO 2018_Table 67'!P81</f>
        <v>268.277985</v>
      </c>
      <c r="P38" s="2">
        <f>'AEO 2018_Table 67'!Q81</f>
        <v>271.52593999999999</v>
      </c>
      <c r="Q38" s="2">
        <f>'AEO 2018_Table 67'!R81</f>
        <v>270.01760899999999</v>
      </c>
      <c r="R38" s="2">
        <f>'AEO 2018_Table 67'!S81</f>
        <v>268.89523300000002</v>
      </c>
      <c r="S38" s="2">
        <f>'AEO 2018_Table 67'!T81</f>
        <v>272.97659299999998</v>
      </c>
      <c r="T38" s="2">
        <f>'AEO 2018_Table 67'!U81</f>
        <v>268.38757299999997</v>
      </c>
      <c r="U38" s="2">
        <f>'AEO 2018_Table 67'!V81</f>
        <v>271.48037699999998</v>
      </c>
      <c r="V38" s="2">
        <f>'AEO 2018_Table 67'!W81</f>
        <v>271.66134599999998</v>
      </c>
      <c r="W38" s="2">
        <f>'AEO 2018_Table 67'!X81</f>
        <v>275.926514</v>
      </c>
      <c r="X38" s="2">
        <f>'AEO 2018_Table 67'!Y81</f>
        <v>278.71087599999998</v>
      </c>
      <c r="Y38" s="2">
        <f>'AEO 2018_Table 67'!Z81</f>
        <v>285.39224200000001</v>
      </c>
      <c r="Z38" s="2">
        <f>'AEO 2018_Table 67'!AA81</f>
        <v>289.80496199999999</v>
      </c>
      <c r="AA38" s="2">
        <f>'AEO 2018_Table 67'!AB81</f>
        <v>289.27728300000001</v>
      </c>
      <c r="AB38" s="2">
        <f>'AEO 2018_Table 67'!AC81</f>
        <v>288.42846700000001</v>
      </c>
      <c r="AC38" s="2">
        <f>'AEO 2018_Table 67'!AD81</f>
        <v>288.28564499999999</v>
      </c>
      <c r="AD38" s="2">
        <f>'AEO 2018_Table 67'!AE81</f>
        <v>284.16970800000001</v>
      </c>
      <c r="AE38" s="2">
        <f>'AEO 2018_Table 67'!AF81</f>
        <v>284.25561499999998</v>
      </c>
      <c r="AF38" s="2">
        <f>'AEO 2018_Table 67'!AG81</f>
        <v>286.46444700000001</v>
      </c>
      <c r="AG38" s="2">
        <f>'AEO 2018_Table 67'!AH81</f>
        <v>288.75576799999999</v>
      </c>
      <c r="AH38" s="2">
        <f>'AEO 2018_Table 67'!AI81</f>
        <v>290.87631199999998</v>
      </c>
      <c r="AI38" s="2">
        <f>'AEO 2018_Table 67'!AJ81</f>
        <v>291.30386399999998</v>
      </c>
      <c r="AJ38" s="2">
        <f>'AEO 2018_Table 67'!AK81</f>
        <v>289.87380999999999</v>
      </c>
    </row>
    <row r="39" spans="1:37" x14ac:dyDescent="0.25">
      <c r="A39" t="s">
        <v>268</v>
      </c>
      <c r="B39" s="2">
        <f>'AEO 2018_Table 67'!C82</f>
        <v>501.36807299999998</v>
      </c>
      <c r="C39" s="2">
        <f>'AEO 2018_Table 67'!D82</f>
        <v>500.55361900000003</v>
      </c>
      <c r="D39" s="2">
        <f>'AEO 2018_Table 67'!E82</f>
        <v>513.13207999999997</v>
      </c>
      <c r="E39" s="2">
        <f>'AEO 2018_Table 67'!F82</f>
        <v>480.69378699999999</v>
      </c>
      <c r="F39" s="2">
        <f>'AEO 2018_Table 67'!G82</f>
        <v>461.42681900000002</v>
      </c>
      <c r="G39" s="2">
        <f>'AEO 2018_Table 67'!H82</f>
        <v>452.71252399999997</v>
      </c>
      <c r="H39" s="2">
        <f>'AEO 2018_Table 67'!I82</f>
        <v>433.02499399999999</v>
      </c>
      <c r="I39" s="2">
        <f>'AEO 2018_Table 67'!J82</f>
        <v>432.463348</v>
      </c>
      <c r="J39" s="2">
        <f>'AEO 2018_Table 67'!K82</f>
        <v>453.630066</v>
      </c>
      <c r="K39" s="2">
        <f>'AEO 2018_Table 67'!L82</f>
        <v>470.20834400000001</v>
      </c>
      <c r="L39" s="2">
        <f>'AEO 2018_Table 67'!M82</f>
        <v>480.641998</v>
      </c>
      <c r="M39" s="2">
        <f>'AEO 2018_Table 67'!N82</f>
        <v>483.45367399999998</v>
      </c>
      <c r="N39" s="2">
        <f>'AEO 2018_Table 67'!O82</f>
        <v>478.744598</v>
      </c>
      <c r="O39" s="2">
        <f>'AEO 2018_Table 67'!P82</f>
        <v>480.70199600000001</v>
      </c>
      <c r="P39" s="2">
        <f>'AEO 2018_Table 67'!Q82</f>
        <v>478.46612499999998</v>
      </c>
      <c r="Q39" s="2">
        <f>'AEO 2018_Table 67'!R82</f>
        <v>475.44647200000003</v>
      </c>
      <c r="R39" s="2">
        <f>'AEO 2018_Table 67'!S82</f>
        <v>476.80310100000003</v>
      </c>
      <c r="S39" s="2">
        <f>'AEO 2018_Table 67'!T82</f>
        <v>471.39471400000002</v>
      </c>
      <c r="T39" s="2">
        <f>'AEO 2018_Table 67'!U82</f>
        <v>469.39376800000002</v>
      </c>
      <c r="U39" s="2">
        <f>'AEO 2018_Table 67'!V82</f>
        <v>464.70107999999999</v>
      </c>
      <c r="V39" s="2">
        <f>'AEO 2018_Table 67'!W82</f>
        <v>469.31915300000003</v>
      </c>
      <c r="W39" s="2">
        <f>'AEO 2018_Table 67'!X82</f>
        <v>465.42105099999998</v>
      </c>
      <c r="X39" s="2">
        <f>'AEO 2018_Table 67'!Y82</f>
        <v>467.57312000000002</v>
      </c>
      <c r="Y39" s="2">
        <f>'AEO 2018_Table 67'!Z82</f>
        <v>461.106628</v>
      </c>
      <c r="Z39" s="2">
        <f>'AEO 2018_Table 67'!AA82</f>
        <v>455.98184199999997</v>
      </c>
      <c r="AA39" s="2">
        <f>'AEO 2018_Table 67'!AB82</f>
        <v>456.65850799999998</v>
      </c>
      <c r="AB39" s="2">
        <f>'AEO 2018_Table 67'!AC82</f>
        <v>454.80401599999999</v>
      </c>
      <c r="AC39" s="2">
        <f>'AEO 2018_Table 67'!AD82</f>
        <v>455.54504400000002</v>
      </c>
      <c r="AD39" s="2">
        <f>'AEO 2018_Table 67'!AE82</f>
        <v>461.05297899999999</v>
      </c>
      <c r="AE39" s="2">
        <f>'AEO 2018_Table 67'!AF82</f>
        <v>460.41626000000002</v>
      </c>
      <c r="AF39" s="2">
        <f>'AEO 2018_Table 67'!AG82</f>
        <v>454.85159299999998</v>
      </c>
      <c r="AG39" s="2">
        <f>'AEO 2018_Table 67'!AH82</f>
        <v>452.99179099999998</v>
      </c>
      <c r="AH39" s="2">
        <f>'AEO 2018_Table 67'!AI82</f>
        <v>451.14700299999998</v>
      </c>
      <c r="AI39" s="2">
        <f>'AEO 2018_Table 67'!AJ82</f>
        <v>456.744415</v>
      </c>
      <c r="AJ39" s="2">
        <f>'AEO 2018_Table 67'!AK82</f>
        <v>456.90780599999999</v>
      </c>
    </row>
    <row r="41" spans="1:37" x14ac:dyDescent="0.25">
      <c r="A41" s="55" t="s">
        <v>271</v>
      </c>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row>
    <row r="42" spans="1:37" x14ac:dyDescent="0.25">
      <c r="A42" t="s">
        <v>272</v>
      </c>
      <c r="B42" s="54">
        <v>2016</v>
      </c>
      <c r="C42" s="54">
        <v>2017</v>
      </c>
      <c r="D42" s="54">
        <v>2018</v>
      </c>
      <c r="E42" s="54">
        <v>2019</v>
      </c>
      <c r="F42" s="54">
        <v>2020</v>
      </c>
      <c r="G42" s="54">
        <v>2021</v>
      </c>
      <c r="H42" s="54">
        <v>2022</v>
      </c>
      <c r="I42" s="54">
        <v>2023</v>
      </c>
      <c r="J42" s="54">
        <v>2024</v>
      </c>
      <c r="K42" s="54">
        <v>2025</v>
      </c>
      <c r="L42" s="54">
        <v>2026</v>
      </c>
      <c r="M42" s="54">
        <v>2027</v>
      </c>
      <c r="N42" s="54">
        <v>2028</v>
      </c>
      <c r="O42" s="54">
        <v>2029</v>
      </c>
      <c r="P42" s="54">
        <v>2030</v>
      </c>
      <c r="Q42" s="54">
        <v>2031</v>
      </c>
      <c r="R42" s="54">
        <v>2032</v>
      </c>
      <c r="S42" s="54">
        <v>2033</v>
      </c>
      <c r="T42" s="54">
        <v>2034</v>
      </c>
      <c r="U42" s="54">
        <v>2035</v>
      </c>
      <c r="V42" s="54">
        <v>2036</v>
      </c>
      <c r="W42" s="54">
        <v>2037</v>
      </c>
      <c r="X42" s="54">
        <v>2038</v>
      </c>
      <c r="Y42" s="54">
        <v>2039</v>
      </c>
      <c r="Z42" s="54">
        <v>2040</v>
      </c>
      <c r="AA42" s="54">
        <v>2041</v>
      </c>
      <c r="AB42" s="54">
        <v>2042</v>
      </c>
      <c r="AC42" s="54">
        <v>2043</v>
      </c>
      <c r="AD42" s="54">
        <v>2044</v>
      </c>
      <c r="AE42" s="54">
        <v>2045</v>
      </c>
      <c r="AF42" s="54">
        <v>2046</v>
      </c>
      <c r="AG42" s="54">
        <v>2047</v>
      </c>
      <c r="AH42" s="54">
        <v>2048</v>
      </c>
      <c r="AI42" s="54">
        <v>2049</v>
      </c>
      <c r="AJ42" s="54">
        <v>2050</v>
      </c>
    </row>
    <row r="43" spans="1:37" x14ac:dyDescent="0.25">
      <c r="A43" t="s">
        <v>267</v>
      </c>
      <c r="B43" s="2">
        <f>B38*$G$28*10^3</f>
        <v>2451.136675708814</v>
      </c>
      <c r="C43" s="2">
        <f t="shared" ref="C43:AJ43" si="5">C38*$G$28*10^3</f>
        <v>2701.712637360436</v>
      </c>
      <c r="D43" s="2">
        <f t="shared" si="5"/>
        <v>2442.4989684041202</v>
      </c>
      <c r="E43" s="2">
        <f t="shared" si="5"/>
        <v>2460.3972513792355</v>
      </c>
      <c r="F43" s="2">
        <f t="shared" si="5"/>
        <v>2567.069533833313</v>
      </c>
      <c r="G43" s="2">
        <f t="shared" si="5"/>
        <v>2507.1481270812815</v>
      </c>
      <c r="H43" s="2">
        <f t="shared" si="5"/>
        <v>2536.916819336489</v>
      </c>
      <c r="I43" s="2">
        <f t="shared" si="5"/>
        <v>2594.782300043868</v>
      </c>
      <c r="J43" s="2">
        <f t="shared" si="5"/>
        <v>2638.1256313533413</v>
      </c>
      <c r="K43" s="2">
        <f t="shared" si="5"/>
        <v>2556.6115340299975</v>
      </c>
      <c r="L43" s="2">
        <f t="shared" si="5"/>
        <v>2552.2739149178497</v>
      </c>
      <c r="M43" s="2">
        <f t="shared" si="5"/>
        <v>2527.4287511932753</v>
      </c>
      <c r="N43" s="2">
        <f t="shared" si="5"/>
        <v>2547.5037035779606</v>
      </c>
      <c r="O43" s="2">
        <f t="shared" si="5"/>
        <v>2557.4598643666441</v>
      </c>
      <c r="P43" s="2">
        <f t="shared" si="5"/>
        <v>2588.422205737178</v>
      </c>
      <c r="Q43" s="2">
        <f t="shared" si="5"/>
        <v>2574.0434784082099</v>
      </c>
      <c r="R43" s="2">
        <f t="shared" si="5"/>
        <v>2563.3440109408052</v>
      </c>
      <c r="S43" s="2">
        <f t="shared" si="5"/>
        <v>2602.2510960377481</v>
      </c>
      <c r="T43" s="2">
        <f t="shared" si="5"/>
        <v>2558.5045528140254</v>
      </c>
      <c r="U43" s="2">
        <f t="shared" si="5"/>
        <v>2587.9878594608699</v>
      </c>
      <c r="V43" s="2">
        <f t="shared" si="5"/>
        <v>2589.7130138904986</v>
      </c>
      <c r="W43" s="2">
        <f t="shared" si="5"/>
        <v>2630.3723172425084</v>
      </c>
      <c r="X43" s="2">
        <f t="shared" si="5"/>
        <v>2656.9152855850939</v>
      </c>
      <c r="Y43" s="2">
        <f t="shared" si="5"/>
        <v>2720.6078967553472</v>
      </c>
      <c r="Z43" s="2">
        <f t="shared" si="5"/>
        <v>2762.6737945318196</v>
      </c>
      <c r="AA43" s="2">
        <f t="shared" si="5"/>
        <v>2757.6434978275665</v>
      </c>
      <c r="AB43" s="2">
        <f t="shared" si="5"/>
        <v>2749.5518430008306</v>
      </c>
      <c r="AC43" s="2">
        <f t="shared" si="5"/>
        <v>2748.1903390639768</v>
      </c>
      <c r="AD43" s="2">
        <f t="shared" si="5"/>
        <v>2708.9536358296004</v>
      </c>
      <c r="AE43" s="2">
        <f t="shared" si="5"/>
        <v>2709.7725763198832</v>
      </c>
      <c r="AF43" s="2">
        <f t="shared" si="5"/>
        <v>2730.8290904692972</v>
      </c>
      <c r="AG43" s="2">
        <f t="shared" si="5"/>
        <v>2752.6719617502949</v>
      </c>
      <c r="AH43" s="2">
        <f t="shared" si="5"/>
        <v>2772.8868376396581</v>
      </c>
      <c r="AI43" s="2">
        <f t="shared" si="5"/>
        <v>2776.9626364046208</v>
      </c>
      <c r="AJ43" s="2">
        <f t="shared" si="5"/>
        <v>2763.3301137476578</v>
      </c>
    </row>
    <row r="44" spans="1:37" x14ac:dyDescent="0.25">
      <c r="A44" t="s">
        <v>268</v>
      </c>
      <c r="B44" s="2">
        <f>$G$29*B39*10^3</f>
        <v>400.49048780154629</v>
      </c>
      <c r="C44" s="2">
        <f t="shared" ref="C44:AJ44" si="6">$G$29*C39*10^3</f>
        <v>399.83990572957634</v>
      </c>
      <c r="D44" s="2">
        <f t="shared" si="6"/>
        <v>409.88752194801611</v>
      </c>
      <c r="E44" s="2">
        <f t="shared" si="6"/>
        <v>383.97596417912035</v>
      </c>
      <c r="F44" s="2">
        <f t="shared" si="6"/>
        <v>368.58559963794471</v>
      </c>
      <c r="G44" s="2">
        <f t="shared" si="6"/>
        <v>361.62466127082092</v>
      </c>
      <c r="H44" s="2">
        <f t="shared" si="6"/>
        <v>345.89835375760288</v>
      </c>
      <c r="I44" s="2">
        <f t="shared" si="6"/>
        <v>345.44971354171145</v>
      </c>
      <c r="J44" s="2">
        <f t="shared" si="6"/>
        <v>362.35758955833558</v>
      </c>
      <c r="K44" s="2">
        <f t="shared" si="6"/>
        <v>375.60024101677749</v>
      </c>
      <c r="L44" s="2">
        <f t="shared" si="6"/>
        <v>383.93459536648606</v>
      </c>
      <c r="M44" s="2">
        <f t="shared" si="6"/>
        <v>386.18054909473608</v>
      </c>
      <c r="N44" s="2">
        <f t="shared" si="6"/>
        <v>382.41896106012155</v>
      </c>
      <c r="O44" s="2">
        <f t="shared" si="6"/>
        <v>383.98252149018856</v>
      </c>
      <c r="P44" s="2">
        <f t="shared" si="6"/>
        <v>382.19651812125983</v>
      </c>
      <c r="Q44" s="2">
        <f t="shared" si="6"/>
        <v>379.78443333148624</v>
      </c>
      <c r="R44" s="2">
        <f t="shared" si="6"/>
        <v>380.86810227499257</v>
      </c>
      <c r="S44" s="2">
        <f t="shared" si="6"/>
        <v>376.54790786195599</v>
      </c>
      <c r="T44" s="2">
        <f t="shared" si="6"/>
        <v>374.9495614917742</v>
      </c>
      <c r="U44" s="2">
        <f t="shared" si="6"/>
        <v>371.2010641154356</v>
      </c>
      <c r="V44" s="2">
        <f t="shared" si="6"/>
        <v>374.88995937636929</v>
      </c>
      <c r="W44" s="2">
        <f t="shared" si="6"/>
        <v>371.7761736058896</v>
      </c>
      <c r="X44" s="2">
        <f t="shared" si="6"/>
        <v>373.49523632648811</v>
      </c>
      <c r="Y44" s="2">
        <f t="shared" si="6"/>
        <v>368.32983255446771</v>
      </c>
      <c r="Z44" s="2">
        <f t="shared" si="6"/>
        <v>364.23617730287259</v>
      </c>
      <c r="AA44" s="2">
        <f t="shared" si="6"/>
        <v>364.77669496048327</v>
      </c>
      <c r="AB44" s="2">
        <f t="shared" si="6"/>
        <v>363.29533536520637</v>
      </c>
      <c r="AC44" s="2">
        <f t="shared" si="6"/>
        <v>363.88726508944831</v>
      </c>
      <c r="AD44" s="2">
        <f t="shared" si="6"/>
        <v>368.28697798247327</v>
      </c>
      <c r="AE44" s="2">
        <f t="shared" si="6"/>
        <v>367.77836980290442</v>
      </c>
      <c r="AF44" s="2">
        <f t="shared" si="6"/>
        <v>363.33333965180583</v>
      </c>
      <c r="AG44" s="2">
        <f t="shared" si="6"/>
        <v>361.84773845319438</v>
      </c>
      <c r="AH44" s="2">
        <f t="shared" si="6"/>
        <v>360.37413036804134</v>
      </c>
      <c r="AI44" s="2">
        <f t="shared" si="6"/>
        <v>364.84531707303563</v>
      </c>
      <c r="AJ44" s="2">
        <f t="shared" si="6"/>
        <v>364.97583304486614</v>
      </c>
    </row>
    <row r="45" spans="1:37" x14ac:dyDescent="0.25">
      <c r="A45" t="s">
        <v>265</v>
      </c>
      <c r="B45" s="2">
        <f>B43*$G$33*-1</f>
        <v>-619.49939147361067</v>
      </c>
      <c r="C45" s="2">
        <f t="shared" ref="C45:AJ45" si="7">C43*$G$33*-1</f>
        <v>-682.82986883926196</v>
      </c>
      <c r="D45" s="2">
        <f t="shared" si="7"/>
        <v>-617.31630047260091</v>
      </c>
      <c r="E45" s="2">
        <f t="shared" si="7"/>
        <v>-621.83990599871868</v>
      </c>
      <c r="F45" s="2">
        <f t="shared" si="7"/>
        <v>-648.80021984914583</v>
      </c>
      <c r="G45" s="2">
        <f t="shared" si="7"/>
        <v>-633.65570531146034</v>
      </c>
      <c r="H45" s="2">
        <f t="shared" si="7"/>
        <v>-641.17943375950097</v>
      </c>
      <c r="I45" s="2">
        <f t="shared" si="7"/>
        <v>-655.80433429679272</v>
      </c>
      <c r="J45" s="2">
        <f t="shared" si="7"/>
        <v>-666.75891207972802</v>
      </c>
      <c r="K45" s="2">
        <f t="shared" si="7"/>
        <v>-646.15706878442131</v>
      </c>
      <c r="L45" s="2">
        <f t="shared" si="7"/>
        <v>-645.06078050843485</v>
      </c>
      <c r="M45" s="2">
        <f t="shared" si="7"/>
        <v>-638.78142286960178</v>
      </c>
      <c r="N45" s="2">
        <f t="shared" si="7"/>
        <v>-643.85515903022531</v>
      </c>
      <c r="O45" s="2">
        <f t="shared" si="7"/>
        <v>-646.37147548500604</v>
      </c>
      <c r="P45" s="2">
        <f t="shared" si="7"/>
        <v>-654.19688637609693</v>
      </c>
      <c r="Q45" s="2">
        <f t="shared" si="7"/>
        <v>-650.562812063254</v>
      </c>
      <c r="R45" s="2">
        <f t="shared" si="7"/>
        <v>-647.85863254897527</v>
      </c>
      <c r="S45" s="2">
        <f t="shared" si="7"/>
        <v>-657.69199507846304</v>
      </c>
      <c r="T45" s="2">
        <f t="shared" si="7"/>
        <v>-646.63550966304513</v>
      </c>
      <c r="U45" s="2">
        <f t="shared" si="7"/>
        <v>-654.08710985627727</v>
      </c>
      <c r="V45" s="2">
        <f t="shared" si="7"/>
        <v>-654.52312475905455</v>
      </c>
      <c r="W45" s="2">
        <f t="shared" si="7"/>
        <v>-664.79934229271248</v>
      </c>
      <c r="X45" s="2">
        <f t="shared" si="7"/>
        <v>-671.50780245288695</v>
      </c>
      <c r="Y45" s="2">
        <f t="shared" si="7"/>
        <v>-687.60544982292879</v>
      </c>
      <c r="Z45" s="2">
        <f t="shared" si="7"/>
        <v>-698.23716951957931</v>
      </c>
      <c r="AA45" s="2">
        <f t="shared" si="7"/>
        <v>-696.96581416102299</v>
      </c>
      <c r="AB45" s="2">
        <f t="shared" si="7"/>
        <v>-694.92073226458899</v>
      </c>
      <c r="AC45" s="2">
        <f t="shared" si="7"/>
        <v>-694.57662625502667</v>
      </c>
      <c r="AD45" s="2">
        <f t="shared" si="7"/>
        <v>-684.65995615742895</v>
      </c>
      <c r="AE45" s="2">
        <f t="shared" si="7"/>
        <v>-684.86693487893842</v>
      </c>
      <c r="AF45" s="2">
        <f t="shared" si="7"/>
        <v>-690.18875060279856</v>
      </c>
      <c r="AG45" s="2">
        <f t="shared" si="7"/>
        <v>-695.70930994194748</v>
      </c>
      <c r="AH45" s="2">
        <f t="shared" si="7"/>
        <v>-700.81841031822637</v>
      </c>
      <c r="AI45" s="2">
        <f t="shared" si="7"/>
        <v>-701.84852621493917</v>
      </c>
      <c r="AJ45" s="2">
        <f t="shared" si="7"/>
        <v>-698.40304739936198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73"/>
  <sheetViews>
    <sheetView topLeftCell="A46" workbookViewId="0">
      <selection activeCell="B60" sqref="B60"/>
    </sheetView>
  </sheetViews>
  <sheetFormatPr defaultRowHeight="15" x14ac:dyDescent="0.25"/>
  <cols>
    <col min="1" max="1" width="70.28515625" bestFit="1" customWidth="1"/>
    <col min="2" max="3" width="12" bestFit="1" customWidth="1"/>
    <col min="7" max="7" width="12.28515625" bestFit="1" customWidth="1"/>
    <col min="12" max="12" width="56.42578125" bestFit="1" customWidth="1"/>
  </cols>
  <sheetData>
    <row r="1" spans="1:7" x14ac:dyDescent="0.25">
      <c r="A1" s="73" t="s">
        <v>313</v>
      </c>
      <c r="B1" s="73"/>
      <c r="C1" s="73"/>
      <c r="D1" s="73"/>
      <c r="E1" s="73"/>
      <c r="F1" s="73"/>
      <c r="G1" s="163"/>
    </row>
    <row r="2" spans="1:7" x14ac:dyDescent="0.25">
      <c r="A2" s="327" t="s">
        <v>1431</v>
      </c>
      <c r="B2" s="327"/>
      <c r="C2" s="327"/>
      <c r="D2" s="327"/>
      <c r="E2" s="327"/>
      <c r="F2" s="327"/>
      <c r="G2" s="328"/>
    </row>
    <row r="3" spans="1:7" x14ac:dyDescent="0.25">
      <c r="A3" t="s">
        <v>1894</v>
      </c>
    </row>
    <row r="5" spans="1:7" x14ac:dyDescent="0.25">
      <c r="A5" t="s">
        <v>1591</v>
      </c>
      <c r="B5">
        <v>2012</v>
      </c>
      <c r="C5">
        <v>2013</v>
      </c>
      <c r="D5">
        <v>2014</v>
      </c>
      <c r="E5">
        <v>2015</v>
      </c>
      <c r="F5">
        <v>2016</v>
      </c>
    </row>
    <row r="6" spans="1:7" x14ac:dyDescent="0.25">
      <c r="A6" s="54" t="s">
        <v>1895</v>
      </c>
      <c r="B6" s="54">
        <v>113</v>
      </c>
      <c r="C6" s="54">
        <v>120</v>
      </c>
      <c r="D6" s="54">
        <v>131</v>
      </c>
      <c r="E6" s="54">
        <v>89</v>
      </c>
      <c r="F6" s="54">
        <v>82</v>
      </c>
    </row>
    <row r="7" spans="1:7" x14ac:dyDescent="0.25">
      <c r="A7" s="54" t="s">
        <v>1896</v>
      </c>
      <c r="B7" s="54">
        <v>1161</v>
      </c>
      <c r="C7" s="54">
        <v>1309</v>
      </c>
      <c r="D7" s="54">
        <v>1377</v>
      </c>
      <c r="E7" s="54">
        <v>1398</v>
      </c>
      <c r="F7" s="54">
        <v>1416</v>
      </c>
    </row>
    <row r="8" spans="1:7" x14ac:dyDescent="0.25">
      <c r="A8" t="s">
        <v>1897</v>
      </c>
      <c r="B8">
        <v>570</v>
      </c>
      <c r="C8">
        <v>687</v>
      </c>
      <c r="D8">
        <v>716</v>
      </c>
      <c r="E8">
        <v>721</v>
      </c>
      <c r="F8">
        <v>739</v>
      </c>
    </row>
    <row r="9" spans="1:7" x14ac:dyDescent="0.25">
      <c r="A9" t="s">
        <v>1898</v>
      </c>
      <c r="B9">
        <v>188</v>
      </c>
      <c r="C9">
        <v>188</v>
      </c>
      <c r="D9">
        <v>188</v>
      </c>
      <c r="E9">
        <v>188</v>
      </c>
      <c r="F9">
        <v>188</v>
      </c>
    </row>
    <row r="10" spans="1:7" x14ac:dyDescent="0.25">
      <c r="A10" t="s">
        <v>1899</v>
      </c>
      <c r="B10">
        <v>45</v>
      </c>
      <c r="C10">
        <v>52</v>
      </c>
      <c r="D10">
        <v>62</v>
      </c>
      <c r="E10">
        <v>67</v>
      </c>
      <c r="F10">
        <v>43</v>
      </c>
    </row>
    <row r="11" spans="1:7" x14ac:dyDescent="0.25">
      <c r="A11" t="s">
        <v>1900</v>
      </c>
      <c r="B11">
        <v>57</v>
      </c>
      <c r="C11">
        <v>65</v>
      </c>
      <c r="D11">
        <v>77</v>
      </c>
      <c r="E11">
        <v>82</v>
      </c>
      <c r="F11">
        <v>127</v>
      </c>
    </row>
    <row r="12" spans="1:7" x14ac:dyDescent="0.25">
      <c r="A12" t="s">
        <v>1214</v>
      </c>
      <c r="B12">
        <v>83</v>
      </c>
      <c r="C12">
        <v>87</v>
      </c>
      <c r="D12">
        <v>92</v>
      </c>
      <c r="E12">
        <v>93</v>
      </c>
      <c r="F12">
        <v>89</v>
      </c>
    </row>
    <row r="13" spans="1:7" x14ac:dyDescent="0.25">
      <c r="A13" t="s">
        <v>1901</v>
      </c>
      <c r="B13">
        <v>80</v>
      </c>
      <c r="C13">
        <v>82</v>
      </c>
      <c r="D13">
        <v>85</v>
      </c>
      <c r="E13">
        <v>85</v>
      </c>
      <c r="F13">
        <v>81</v>
      </c>
    </row>
    <row r="14" spans="1:7" x14ac:dyDescent="0.25">
      <c r="A14" t="s">
        <v>1902</v>
      </c>
      <c r="B14">
        <v>138</v>
      </c>
      <c r="C14">
        <v>147</v>
      </c>
      <c r="D14">
        <v>158</v>
      </c>
      <c r="E14">
        <v>161</v>
      </c>
      <c r="F14">
        <v>150</v>
      </c>
    </row>
    <row r="15" spans="1:7" x14ac:dyDescent="0.25">
      <c r="A15" s="54" t="s">
        <v>1903</v>
      </c>
      <c r="B15" s="54">
        <v>6</v>
      </c>
      <c r="C15" s="54">
        <v>7</v>
      </c>
      <c r="D15" s="54">
        <v>8</v>
      </c>
      <c r="E15" s="54">
        <v>8</v>
      </c>
      <c r="F15" s="54">
        <v>8</v>
      </c>
    </row>
    <row r="16" spans="1:7" x14ac:dyDescent="0.25">
      <c r="A16" s="54" t="s">
        <v>297</v>
      </c>
      <c r="B16" s="54">
        <v>27</v>
      </c>
      <c r="C16" s="54">
        <v>27</v>
      </c>
      <c r="D16" s="54">
        <v>26</v>
      </c>
      <c r="E16" s="54">
        <v>28</v>
      </c>
      <c r="F16" s="54">
        <v>37</v>
      </c>
    </row>
    <row r="17" spans="1:7" x14ac:dyDescent="0.25">
      <c r="A17" s="54" t="s">
        <v>1904</v>
      </c>
      <c r="B17" s="54">
        <v>1307</v>
      </c>
      <c r="C17" s="54">
        <v>1463</v>
      </c>
      <c r="D17" s="54">
        <v>1543</v>
      </c>
      <c r="E17" s="54">
        <v>1523</v>
      </c>
      <c r="F17" s="54">
        <v>1544</v>
      </c>
    </row>
    <row r="18" spans="1:7" x14ac:dyDescent="0.25">
      <c r="A18" t="s">
        <v>1905</v>
      </c>
    </row>
    <row r="20" spans="1:7" x14ac:dyDescent="0.25">
      <c r="A20" s="327" t="s">
        <v>1432</v>
      </c>
      <c r="B20" s="327"/>
      <c r="C20" s="327"/>
      <c r="D20" s="327"/>
      <c r="E20" s="327"/>
      <c r="F20" s="327"/>
      <c r="G20" s="328"/>
    </row>
    <row r="21" spans="1:7" x14ac:dyDescent="0.25">
      <c r="A21" t="s">
        <v>1906</v>
      </c>
    </row>
    <row r="23" spans="1:7" x14ac:dyDescent="0.25">
      <c r="A23" t="s">
        <v>1591</v>
      </c>
      <c r="B23">
        <v>2012</v>
      </c>
      <c r="C23">
        <v>2013</v>
      </c>
      <c r="D23">
        <v>2014</v>
      </c>
      <c r="E23">
        <v>2015</v>
      </c>
      <c r="F23">
        <v>2016</v>
      </c>
    </row>
    <row r="24" spans="1:7" x14ac:dyDescent="0.25">
      <c r="A24" s="54" t="s">
        <v>1907</v>
      </c>
      <c r="B24" s="54">
        <v>247</v>
      </c>
      <c r="C24" s="54">
        <v>255</v>
      </c>
      <c r="D24" s="54">
        <v>264</v>
      </c>
      <c r="E24" s="54">
        <v>262</v>
      </c>
      <c r="F24" s="54">
        <v>39</v>
      </c>
    </row>
    <row r="25" spans="1:7" x14ac:dyDescent="0.25">
      <c r="A25" s="54" t="s">
        <v>1908</v>
      </c>
      <c r="B25" s="54">
        <v>15628</v>
      </c>
      <c r="C25" s="54">
        <v>18752</v>
      </c>
      <c r="D25" s="54">
        <v>22645</v>
      </c>
      <c r="E25" s="54">
        <v>24476</v>
      </c>
      <c r="F25" s="54">
        <v>19018</v>
      </c>
    </row>
    <row r="26" spans="1:7" x14ac:dyDescent="0.25">
      <c r="A26" t="s">
        <v>296</v>
      </c>
      <c r="B26" t="s">
        <v>1234</v>
      </c>
      <c r="C26" t="s">
        <v>1234</v>
      </c>
      <c r="D26" t="s">
        <v>1234</v>
      </c>
      <c r="E26" t="s">
        <v>1234</v>
      </c>
      <c r="F26" t="s">
        <v>1234</v>
      </c>
    </row>
    <row r="27" spans="1:7" x14ac:dyDescent="0.25">
      <c r="A27" s="54" t="s">
        <v>298</v>
      </c>
      <c r="B27" s="54">
        <v>3425</v>
      </c>
      <c r="C27" s="54">
        <v>3605</v>
      </c>
      <c r="D27" s="54">
        <v>3414</v>
      </c>
      <c r="E27" s="54">
        <v>4014</v>
      </c>
      <c r="F27" s="54">
        <v>3710</v>
      </c>
    </row>
    <row r="28" spans="1:7" x14ac:dyDescent="0.25">
      <c r="A28" s="54" t="s">
        <v>1909</v>
      </c>
      <c r="B28" s="54">
        <v>19300</v>
      </c>
      <c r="C28" s="54">
        <v>22611</v>
      </c>
      <c r="D28" s="54">
        <v>26324</v>
      </c>
      <c r="E28" s="54">
        <v>28752</v>
      </c>
      <c r="F28" s="54">
        <v>22767</v>
      </c>
    </row>
    <row r="29" spans="1:7" x14ac:dyDescent="0.25">
      <c r="A29" t="s">
        <v>1910</v>
      </c>
    </row>
    <row r="30" spans="1:7" x14ac:dyDescent="0.25">
      <c r="A30" t="s">
        <v>1911</v>
      </c>
    </row>
    <row r="32" spans="1:7" x14ac:dyDescent="0.25">
      <c r="A32" s="55" t="s">
        <v>299</v>
      </c>
      <c r="B32" s="58"/>
      <c r="C32" s="58"/>
      <c r="D32" s="58"/>
      <c r="E32" s="58"/>
      <c r="F32" s="58"/>
      <c r="G32" s="58"/>
    </row>
    <row r="33" spans="1:7" x14ac:dyDescent="0.25">
      <c r="B33" s="61">
        <v>2012</v>
      </c>
      <c r="C33" s="61">
        <v>2013</v>
      </c>
      <c r="D33" s="61">
        <v>2014</v>
      </c>
      <c r="E33" s="61">
        <v>2015</v>
      </c>
      <c r="F33" s="61">
        <v>2016</v>
      </c>
    </row>
    <row r="34" spans="1:7" x14ac:dyDescent="0.25">
      <c r="A34" t="s">
        <v>302</v>
      </c>
      <c r="B34">
        <v>2379555</v>
      </c>
      <c r="C34">
        <v>2725431</v>
      </c>
      <c r="D34">
        <v>3196889</v>
      </c>
      <c r="E34">
        <v>3442188</v>
      </c>
      <c r="F34">
        <v>3232025</v>
      </c>
    </row>
    <row r="36" spans="1:7" x14ac:dyDescent="0.25">
      <c r="A36" s="55" t="s">
        <v>310</v>
      </c>
      <c r="B36" s="58"/>
      <c r="C36" s="58"/>
      <c r="D36" s="58"/>
      <c r="E36" s="58"/>
      <c r="F36" s="58"/>
      <c r="G36" s="58"/>
    </row>
    <row r="37" spans="1:7" x14ac:dyDescent="0.25">
      <c r="B37" s="61">
        <v>2012</v>
      </c>
      <c r="C37" s="61">
        <v>2013</v>
      </c>
      <c r="D37" s="61">
        <v>2014</v>
      </c>
      <c r="E37" s="61">
        <v>2015</v>
      </c>
      <c r="F37" s="61">
        <v>2016</v>
      </c>
    </row>
    <row r="38" spans="1:7" x14ac:dyDescent="0.25">
      <c r="A38" t="s">
        <v>303</v>
      </c>
      <c r="B38">
        <v>2379555</v>
      </c>
      <c r="C38">
        <v>2725431</v>
      </c>
      <c r="D38">
        <v>3196889</v>
      </c>
      <c r="E38">
        <v>3442188</v>
      </c>
      <c r="F38">
        <v>3232025</v>
      </c>
    </row>
    <row r="39" spans="1:7" x14ac:dyDescent="0.25">
      <c r="A39" t="s">
        <v>304</v>
      </c>
      <c r="B39">
        <v>192401</v>
      </c>
      <c r="C39">
        <v>187923</v>
      </c>
      <c r="D39">
        <v>181130</v>
      </c>
      <c r="E39">
        <v>176235</v>
      </c>
      <c r="F39">
        <v>179169</v>
      </c>
    </row>
    <row r="40" spans="1:7" x14ac:dyDescent="0.25">
      <c r="A40" t="s">
        <v>305</v>
      </c>
      <c r="B40">
        <v>2187153</v>
      </c>
      <c r="C40">
        <v>2537508</v>
      </c>
      <c r="D40">
        <v>3015759</v>
      </c>
      <c r="E40">
        <v>3265953</v>
      </c>
      <c r="F40">
        <v>3052856</v>
      </c>
    </row>
    <row r="41" spans="1:7" x14ac:dyDescent="0.25">
      <c r="A41" t="s">
        <v>306</v>
      </c>
      <c r="B41">
        <v>3120755</v>
      </c>
      <c r="C41">
        <v>2821480</v>
      </c>
      <c r="D41">
        <v>2680626</v>
      </c>
      <c r="E41">
        <v>2687409</v>
      </c>
      <c r="F41">
        <v>2873208</v>
      </c>
    </row>
    <row r="42" spans="1:7" x14ac:dyDescent="0.25">
      <c r="A42" t="s">
        <v>307</v>
      </c>
      <c r="B42">
        <v>3120755</v>
      </c>
      <c r="C42">
        <v>2821480</v>
      </c>
      <c r="D42">
        <v>2680626</v>
      </c>
      <c r="E42">
        <v>2687409</v>
      </c>
      <c r="F42">
        <v>2873208</v>
      </c>
    </row>
    <row r="43" spans="1:7" x14ac:dyDescent="0.25">
      <c r="A43" t="s">
        <v>308</v>
      </c>
    </row>
    <row r="44" spans="1:7" x14ac:dyDescent="0.25">
      <c r="A44" t="s">
        <v>309</v>
      </c>
      <c r="B44">
        <v>42792</v>
      </c>
      <c r="C44">
        <v>81160</v>
      </c>
      <c r="D44">
        <v>64019</v>
      </c>
      <c r="E44">
        <v>41209</v>
      </c>
      <c r="F44">
        <v>70801</v>
      </c>
    </row>
    <row r="45" spans="1:7" x14ac:dyDescent="0.25">
      <c r="A45" t="s">
        <v>314</v>
      </c>
      <c r="B45">
        <f>SUM(B38,B41,B44)</f>
        <v>5543102</v>
      </c>
      <c r="C45">
        <f>SUM(C38,C41,C44)</f>
        <v>5628071</v>
      </c>
      <c r="D45">
        <f>SUM(D38,D41,D44)</f>
        <v>5941534</v>
      </c>
      <c r="E45">
        <f>SUM(E38,E41,E44)</f>
        <v>6170806</v>
      </c>
      <c r="F45">
        <f>SUM(F38,F41,F44)</f>
        <v>6176034</v>
      </c>
    </row>
    <row r="47" spans="1:7" x14ac:dyDescent="0.25">
      <c r="A47" s="55" t="s">
        <v>320</v>
      </c>
      <c r="B47" s="58"/>
      <c r="C47" s="58"/>
      <c r="D47" s="58"/>
      <c r="E47" s="58"/>
      <c r="F47" s="58"/>
      <c r="G47" s="58"/>
    </row>
    <row r="48" spans="1:7" x14ac:dyDescent="0.25">
      <c r="A48" s="61" t="s">
        <v>1433</v>
      </c>
      <c r="B48" s="61">
        <f>B23</f>
        <v>2012</v>
      </c>
      <c r="C48" s="61">
        <f>C23</f>
        <v>2013</v>
      </c>
      <c r="D48" s="61">
        <f>D23</f>
        <v>2014</v>
      </c>
      <c r="E48" s="61">
        <f>E23</f>
        <v>2015</v>
      </c>
      <c r="F48" s="61">
        <f>F23</f>
        <v>2016</v>
      </c>
      <c r="G48" s="61" t="s">
        <v>321</v>
      </c>
    </row>
    <row r="49" spans="1:36" x14ac:dyDescent="0.25">
      <c r="A49" t="s">
        <v>315</v>
      </c>
      <c r="B49">
        <f>B7/B34</f>
        <v>4.8790635223812856E-4</v>
      </c>
      <c r="C49">
        <f>C7/C34</f>
        <v>4.8029100718381793E-4</v>
      </c>
      <c r="D49">
        <f>D7/D34</f>
        <v>4.3073125153860516E-4</v>
      </c>
      <c r="E49">
        <f>E7/E34</f>
        <v>4.0613702679807146E-4</v>
      </c>
      <c r="F49">
        <f>F7/F34</f>
        <v>4.381154229933246E-4</v>
      </c>
      <c r="G49" s="63">
        <f>AVERAGE(B49:F49)</f>
        <v>4.4863621215038952E-4</v>
      </c>
    </row>
    <row r="50" spans="1:36" x14ac:dyDescent="0.25">
      <c r="A50" t="s">
        <v>316</v>
      </c>
      <c r="B50" s="135">
        <f>B25/B34</f>
        <v>6.5676145329693998E-3</v>
      </c>
      <c r="C50" s="135">
        <f>C25/C34</f>
        <v>6.880379653713486E-3</v>
      </c>
      <c r="D50" s="135">
        <f>D25/D34</f>
        <v>7.0834489405168588E-3</v>
      </c>
      <c r="E50" s="135">
        <f>E25/E34</f>
        <v>7.1105936108080093E-3</v>
      </c>
      <c r="F50" s="135">
        <f>F25/F34</f>
        <v>5.884236662773339E-3</v>
      </c>
      <c r="G50" s="63">
        <f>AVERAGE(B50:F50)</f>
        <v>6.7052546801562186E-3</v>
      </c>
    </row>
    <row r="51" spans="1:36" x14ac:dyDescent="0.25">
      <c r="A51" t="s">
        <v>317</v>
      </c>
      <c r="B51">
        <f>B15</f>
        <v>6</v>
      </c>
      <c r="C51">
        <f>C15</f>
        <v>7</v>
      </c>
      <c r="D51">
        <f>D15</f>
        <v>8</v>
      </c>
      <c r="E51">
        <f>E15</f>
        <v>8</v>
      </c>
      <c r="F51">
        <f>F15</f>
        <v>8</v>
      </c>
      <c r="G51" s="63">
        <f>AVERAGE(B51:F51)</f>
        <v>7.4</v>
      </c>
    </row>
    <row r="52" spans="1:36" x14ac:dyDescent="0.25">
      <c r="A52" t="s">
        <v>318</v>
      </c>
      <c r="B52">
        <f>B16/B45</f>
        <v>4.8709188465231201E-6</v>
      </c>
      <c r="C52">
        <f>C16/C45</f>
        <v>4.797380843276497E-6</v>
      </c>
      <c r="D52">
        <f>D16/D45</f>
        <v>4.3759742854286452E-6</v>
      </c>
      <c r="E52">
        <f>E16/E45</f>
        <v>4.5374947778296707E-6</v>
      </c>
      <c r="F52">
        <f>F16/F45</f>
        <v>5.9908996614979775E-6</v>
      </c>
      <c r="G52" s="63">
        <f>AVERAGE(B52:F52)</f>
        <v>4.9145336829111823E-6</v>
      </c>
    </row>
    <row r="53" spans="1:36" x14ac:dyDescent="0.25">
      <c r="A53" t="s">
        <v>319</v>
      </c>
      <c r="B53">
        <f>B27/B45</f>
        <v>6.1788507590154393E-4</v>
      </c>
      <c r="C53">
        <f>C27/C45</f>
        <v>6.4053918296339896E-4</v>
      </c>
      <c r="D53">
        <f>D27/D45</f>
        <v>5.7459908501743826E-4</v>
      </c>
      <c r="E53">
        <f>E27/E45</f>
        <v>6.5048228707886781E-4</v>
      </c>
      <c r="F53">
        <f>F27/F45</f>
        <v>6.0070912822047292E-4</v>
      </c>
      <c r="G53" s="63">
        <f>AVERAGE(B53:F53)</f>
        <v>6.1684295183634438E-4</v>
      </c>
    </row>
    <row r="55" spans="1:36" x14ac:dyDescent="0.25">
      <c r="A55" s="73" t="s">
        <v>323</v>
      </c>
      <c r="B55" s="73"/>
      <c r="C55" s="73"/>
      <c r="D55" s="73"/>
      <c r="E55" s="73"/>
      <c r="F55" s="73"/>
      <c r="G55" s="163"/>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row>
    <row r="56" spans="1:36" x14ac:dyDescent="0.25">
      <c r="A56" s="55" t="s">
        <v>1434</v>
      </c>
      <c r="B56" s="329"/>
      <c r="C56" s="329"/>
      <c r="D56" s="329"/>
      <c r="E56" s="329"/>
      <c r="F56" s="329"/>
      <c r="G56" s="329"/>
      <c r="H56" s="329"/>
      <c r="I56" s="329"/>
      <c r="J56" s="329"/>
      <c r="K56" s="329"/>
      <c r="L56" s="329"/>
      <c r="M56" s="329"/>
      <c r="N56" s="329"/>
      <c r="O56" s="329"/>
      <c r="P56" s="329"/>
      <c r="Q56" s="329"/>
      <c r="R56" s="329"/>
      <c r="S56" s="329"/>
      <c r="T56" s="329"/>
      <c r="U56" s="329"/>
      <c r="V56" s="329"/>
      <c r="W56" s="329"/>
      <c r="X56" s="329"/>
      <c r="Y56" s="329"/>
      <c r="Z56" s="329"/>
      <c r="AA56" s="329"/>
      <c r="AB56" s="329"/>
      <c r="AC56" s="329"/>
      <c r="AD56" s="329"/>
      <c r="AE56" s="329"/>
      <c r="AF56" s="329"/>
      <c r="AG56" s="329"/>
      <c r="AH56" s="329"/>
      <c r="AI56" s="329"/>
      <c r="AJ56" s="329"/>
    </row>
    <row r="57" spans="1:36" x14ac:dyDescent="0.25">
      <c r="A57" t="s">
        <v>324</v>
      </c>
      <c r="B57" s="62">
        <f>F34</f>
        <v>3232025</v>
      </c>
    </row>
    <row r="58" spans="1:36" x14ac:dyDescent="0.25">
      <c r="A58" t="s">
        <v>325</v>
      </c>
      <c r="B58">
        <f>F45</f>
        <v>6176034</v>
      </c>
    </row>
    <row r="59" spans="1:36" x14ac:dyDescent="0.25">
      <c r="A59" t="s">
        <v>459</v>
      </c>
      <c r="B59" s="61">
        <v>2016</v>
      </c>
      <c r="C59" s="61">
        <v>2017</v>
      </c>
      <c r="D59" s="61">
        <v>2018</v>
      </c>
      <c r="E59" s="61">
        <v>2019</v>
      </c>
      <c r="F59" s="61">
        <v>2020</v>
      </c>
      <c r="G59" s="61">
        <v>2021</v>
      </c>
      <c r="H59" s="61">
        <v>2022</v>
      </c>
      <c r="I59" s="61">
        <v>2023</v>
      </c>
      <c r="J59" s="61">
        <v>2024</v>
      </c>
      <c r="K59" s="61">
        <v>2025</v>
      </c>
      <c r="L59" s="61">
        <v>2026</v>
      </c>
      <c r="M59" s="61">
        <v>2027</v>
      </c>
      <c r="N59" s="61">
        <v>2028</v>
      </c>
      <c r="O59" s="61">
        <v>2029</v>
      </c>
      <c r="P59" s="61">
        <v>2030</v>
      </c>
      <c r="Q59" s="61">
        <v>2031</v>
      </c>
      <c r="R59" s="61">
        <v>2032</v>
      </c>
      <c r="S59" s="61">
        <v>2033</v>
      </c>
      <c r="T59" s="61">
        <v>2034</v>
      </c>
      <c r="U59" s="61">
        <v>2035</v>
      </c>
      <c r="V59" s="61">
        <v>2036</v>
      </c>
      <c r="W59" s="61">
        <v>2037</v>
      </c>
      <c r="X59" s="61">
        <v>2038</v>
      </c>
      <c r="Y59" s="61">
        <v>2039</v>
      </c>
      <c r="Z59" s="61">
        <v>2040</v>
      </c>
      <c r="AA59" s="61">
        <v>2041</v>
      </c>
      <c r="AB59" s="61">
        <v>2042</v>
      </c>
      <c r="AC59" s="61">
        <v>2043</v>
      </c>
      <c r="AD59" s="61">
        <v>2044</v>
      </c>
      <c r="AE59" s="61">
        <v>2045</v>
      </c>
      <c r="AF59" s="61">
        <v>2046</v>
      </c>
      <c r="AG59" s="61">
        <v>2047</v>
      </c>
      <c r="AH59" s="61">
        <v>2048</v>
      </c>
      <c r="AI59" s="61">
        <v>2049</v>
      </c>
      <c r="AJ59" s="61">
        <v>2050</v>
      </c>
    </row>
    <row r="60" spans="1:36" x14ac:dyDescent="0.25">
      <c r="A60" t="s">
        <v>460</v>
      </c>
      <c r="B60" s="62">
        <f>('AEO 2018_Table 11'!C16)*365*1000</f>
        <v>3249960</v>
      </c>
      <c r="C60" s="62">
        <f>('AEO 2018_Table 11'!D16)*365*1000</f>
        <v>3373526.37</v>
      </c>
      <c r="D60" s="62">
        <f>('AEO 2018_Table 11'!E16)*365*1000</f>
        <v>3630151.665</v>
      </c>
      <c r="E60" s="62">
        <f>('AEO 2018_Table 11'!F16)*365*1000</f>
        <v>3809339.6549999998</v>
      </c>
      <c r="F60" s="62">
        <f>('AEO 2018_Table 11'!G16)*365*1000</f>
        <v>3906346.4350000001</v>
      </c>
      <c r="G60" s="62">
        <f>('AEO 2018_Table 11'!H16)*365*1000</f>
        <v>4006076.1149999998</v>
      </c>
      <c r="H60" s="62">
        <f>('AEO 2018_Table 11'!I16)*365*1000</f>
        <v>4055134.6700000004</v>
      </c>
      <c r="I60" s="62">
        <f>('AEO 2018_Table 11'!J16)*365*1000</f>
        <v>4063812.91</v>
      </c>
      <c r="J60" s="62">
        <f>('AEO 2018_Table 11'!K16)*365*1000</f>
        <v>4144843.64</v>
      </c>
      <c r="K60" s="62">
        <f>('AEO 2018_Table 11'!L16)*365*1000</f>
        <v>4154039.4499999993</v>
      </c>
      <c r="L60" s="62">
        <f>('AEO 2018_Table 11'!M16)*365*1000</f>
        <v>4176388.0350000001</v>
      </c>
      <c r="M60" s="62">
        <f>('AEO 2018_Table 11'!N16)*365*1000</f>
        <v>4214325.04</v>
      </c>
      <c r="N60" s="62">
        <f>('AEO 2018_Table 11'!O16)*365*1000</f>
        <v>4237642.335</v>
      </c>
      <c r="O60" s="62">
        <f>('AEO 2018_Table 11'!P16)*365*1000</f>
        <v>4258165.92</v>
      </c>
      <c r="P60" s="62">
        <f>('AEO 2018_Table 11'!Q16)*365*1000</f>
        <v>4268864.0699999994</v>
      </c>
      <c r="Q60" s="62">
        <f>('AEO 2018_Table 11'!R16)*365*1000</f>
        <v>4312188.4749999996</v>
      </c>
      <c r="R60" s="62">
        <f>('AEO 2018_Table 11'!S16)*365*1000</f>
        <v>4312350.9000000004</v>
      </c>
      <c r="S60" s="62">
        <f>('AEO 2018_Table 11'!T16)*365*1000</f>
        <v>4304635.8950000005</v>
      </c>
      <c r="T60" s="62">
        <f>('AEO 2018_Table 11'!U16)*365*1000</f>
        <v>4333047.8599999994</v>
      </c>
      <c r="U60" s="62">
        <f>('AEO 2018_Table 11'!V16)*365*1000</f>
        <v>4325930.3600000003</v>
      </c>
      <c r="V60" s="62">
        <f>('AEO 2018_Table 11'!W16)*365*1000</f>
        <v>4316002.7250000006</v>
      </c>
      <c r="W60" s="62">
        <f>('AEO 2018_Table 11'!X16)*365*1000</f>
        <v>4344397.17</v>
      </c>
      <c r="X60" s="62">
        <f>('AEO 2018_Table 11'!Y16)*365*1000</f>
        <v>4294298.3649999993</v>
      </c>
      <c r="Y60" s="62">
        <f>('AEO 2018_Table 11'!Z16)*365*1000</f>
        <v>4307381.0599999996</v>
      </c>
      <c r="Z60" s="62">
        <f>('AEO 2018_Table 11'!AA16)*365*1000</f>
        <v>4342966.004999999</v>
      </c>
      <c r="AA60" s="62">
        <f>('AEO 2018_Table 11'!AB16)*365*1000</f>
        <v>4357852.53</v>
      </c>
      <c r="AB60" s="62">
        <f>('AEO 2018_Table 11'!AC16)*365*1000</f>
        <v>4360269.5600000005</v>
      </c>
      <c r="AC60" s="62">
        <f>('AEO 2018_Table 11'!AD16)*365*1000</f>
        <v>4346763.1000000006</v>
      </c>
      <c r="AD60" s="62">
        <f>('AEO 2018_Table 11'!AE16)*365*1000</f>
        <v>4316511.9000000004</v>
      </c>
      <c r="AE60" s="62">
        <f>('AEO 2018_Table 11'!AF16)*365*1000</f>
        <v>4239399.8099999996</v>
      </c>
      <c r="AF60" s="62">
        <f>('AEO 2018_Table 11'!AG16)*365*1000</f>
        <v>4211699.96</v>
      </c>
      <c r="AG60" s="62">
        <f>('AEO 2018_Table 11'!AH16)*365*1000</f>
        <v>4206808.5950000007</v>
      </c>
      <c r="AH60" s="62">
        <f>('AEO 2018_Table 11'!AI16)*365*1000</f>
        <v>4160629.5250000004</v>
      </c>
      <c r="AI60" s="62">
        <f>('AEO 2018_Table 11'!AJ16)*365*1000</f>
        <v>4136597.9249999998</v>
      </c>
      <c r="AJ60" s="62">
        <f>('AEO 2018_Table 11'!AK16)*365*1000</f>
        <v>4124809.52</v>
      </c>
    </row>
    <row r="61" spans="1:36" x14ac:dyDescent="0.25">
      <c r="A61" t="s">
        <v>461</v>
      </c>
      <c r="B61" s="62">
        <f>'AEO 2018_Table 11'!C23*1000*365</f>
        <v>5925409.6350000007</v>
      </c>
      <c r="C61" s="62">
        <f>'AEO 2018_Table 11'!D23*1000*365</f>
        <v>5993131.3700000001</v>
      </c>
      <c r="D61" s="62">
        <f>'AEO 2018_Table 11'!E23*1000*365</f>
        <v>6040246.2999999998</v>
      </c>
      <c r="E61" s="62">
        <f>'AEO 2018_Table 11'!F23*1000*365</f>
        <v>6188437.0299999993</v>
      </c>
      <c r="F61" s="62">
        <f>'AEO 2018_Table 11'!G23*1000*365</f>
        <v>6481265.9450000003</v>
      </c>
      <c r="G61" s="62">
        <f>'AEO 2018_Table 11'!H23*1000*365</f>
        <v>6474609.8049999997</v>
      </c>
      <c r="H61" s="62">
        <f>'AEO 2018_Table 11'!I23*1000*365</f>
        <v>6465177.8399999999</v>
      </c>
      <c r="I61" s="62">
        <f>'AEO 2018_Table 11'!J23*1000*365</f>
        <v>6455424.3100000005</v>
      </c>
      <c r="J61" s="62">
        <f>'AEO 2018_Table 11'!K23*1000*365</f>
        <v>6412796.3250000002</v>
      </c>
      <c r="K61" s="62">
        <f>'AEO 2018_Table 11'!L23*1000*365</f>
        <v>6371280.495000001</v>
      </c>
      <c r="L61" s="62">
        <f>'AEO 2018_Table 11'!M23*1000*365</f>
        <v>6244605.7850000011</v>
      </c>
      <c r="M61" s="62">
        <f>'AEO 2018_Table 11'!N23*1000*365</f>
        <v>6232463.6950000012</v>
      </c>
      <c r="N61" s="62">
        <f>'AEO 2018_Table 11'!O23*1000*365</f>
        <v>6224833.0049999999</v>
      </c>
      <c r="O61" s="62">
        <f>'AEO 2018_Table 11'!P23*1000*365</f>
        <v>6253381.1150000002</v>
      </c>
      <c r="P61" s="62">
        <f>'AEO 2018_Table 11'!Q23*1000*365</f>
        <v>6256252.2049999991</v>
      </c>
      <c r="Q61" s="62">
        <f>'AEO 2018_Table 11'!R23*1000*365</f>
        <v>6300382.5300000003</v>
      </c>
      <c r="R61" s="62">
        <f>'AEO 2018_Table 11'!S23*1000*365</f>
        <v>6301633.0199999996</v>
      </c>
      <c r="S61" s="62">
        <f>'AEO 2018_Table 11'!T23*1000*365</f>
        <v>6309195.4550000001</v>
      </c>
      <c r="T61" s="62">
        <f>'AEO 2018_Table 11'!U23*1000*365</f>
        <v>6316383.7649999997</v>
      </c>
      <c r="U61" s="62">
        <f>'AEO 2018_Table 11'!V23*1000*365</f>
        <v>6361294.4600000009</v>
      </c>
      <c r="V61" s="62">
        <f>'AEO 2018_Table 11'!W23*1000*365</f>
        <v>6363853.4749999996</v>
      </c>
      <c r="W61" s="62">
        <f>'AEO 2018_Table 11'!X23*1000*365</f>
        <v>6361436.4450000003</v>
      </c>
      <c r="X61" s="62">
        <f>'AEO 2018_Table 11'!Y23*1000*365</f>
        <v>6388235.8399999999</v>
      </c>
      <c r="Y61" s="62">
        <f>'AEO 2018_Table 11'!Z23*1000*365</f>
        <v>6414854.5599999996</v>
      </c>
      <c r="Z61" s="62">
        <f>'AEO 2018_Table 11'!AA23*1000*365</f>
        <v>6421564.3549999995</v>
      </c>
      <c r="AA61" s="62">
        <f>'AEO 2018_Table 11'!AB23*1000*365</f>
        <v>6417332.1799999997</v>
      </c>
      <c r="AB61" s="62">
        <f>'AEO 2018_Table 11'!AC23*1000*365</f>
        <v>6395235.4449999994</v>
      </c>
      <c r="AC61" s="62">
        <f>'AEO 2018_Table 11'!AD23*1000*365</f>
        <v>6394782.1149999993</v>
      </c>
      <c r="AD61" s="62">
        <f>'AEO 2018_Table 11'!AE23*1000*365</f>
        <v>6353538.9400000004</v>
      </c>
      <c r="AE61" s="62">
        <f>'AEO 2018_Table 11'!AF23*1000*365</f>
        <v>6320514.835</v>
      </c>
      <c r="AF61" s="62">
        <f>'AEO 2018_Table 11'!AG23*1000*365</f>
        <v>6297136.9500000002</v>
      </c>
      <c r="AG61" s="62">
        <f>'AEO 2018_Table 11'!AH23*1000*365</f>
        <v>6296350.3749999991</v>
      </c>
      <c r="AH61" s="62">
        <f>'AEO 2018_Table 11'!AI23*1000*365</f>
        <v>6299725.165</v>
      </c>
      <c r="AI61" s="62">
        <f>'AEO 2018_Table 11'!AJ23*1000*365</f>
        <v>6280996.6500000013</v>
      </c>
      <c r="AJ61" s="62">
        <f>'AEO 2018_Table 11'!AK23*1000*365</f>
        <v>6281151.044999999</v>
      </c>
    </row>
    <row r="63" spans="1:36" x14ac:dyDescent="0.25">
      <c r="A63" s="55" t="s">
        <v>323</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row>
    <row r="64" spans="1:36" x14ac:dyDescent="0.25">
      <c r="A64" t="s">
        <v>469</v>
      </c>
      <c r="B64" s="61">
        <v>2016</v>
      </c>
      <c r="C64" s="61">
        <v>2017</v>
      </c>
      <c r="D64" s="61">
        <v>2018</v>
      </c>
      <c r="E64" s="61">
        <v>2019</v>
      </c>
      <c r="F64" s="61">
        <v>2020</v>
      </c>
      <c r="G64" s="61">
        <v>2021</v>
      </c>
      <c r="H64" s="61">
        <v>2022</v>
      </c>
      <c r="I64" s="61">
        <v>2023</v>
      </c>
      <c r="J64" s="61">
        <v>2024</v>
      </c>
      <c r="K64" s="61">
        <v>2025</v>
      </c>
      <c r="L64" s="61">
        <v>2026</v>
      </c>
      <c r="M64" s="61">
        <v>2027</v>
      </c>
      <c r="N64" s="61">
        <v>2028</v>
      </c>
      <c r="O64" s="61">
        <v>2029</v>
      </c>
      <c r="P64" s="61">
        <v>2030</v>
      </c>
      <c r="Q64" s="61">
        <v>2031</v>
      </c>
      <c r="R64" s="61">
        <v>2032</v>
      </c>
      <c r="S64" s="61">
        <v>2033</v>
      </c>
      <c r="T64" s="61">
        <v>2034</v>
      </c>
      <c r="U64" s="61">
        <v>2035</v>
      </c>
      <c r="V64" s="61">
        <v>2036</v>
      </c>
      <c r="W64" s="61">
        <v>2037</v>
      </c>
      <c r="X64" s="61">
        <v>2038</v>
      </c>
      <c r="Y64" s="61">
        <v>2039</v>
      </c>
      <c r="Z64" s="61">
        <v>2040</v>
      </c>
      <c r="AA64" s="61">
        <v>2041</v>
      </c>
      <c r="AB64" s="61">
        <v>2042</v>
      </c>
      <c r="AC64" s="61">
        <v>2043</v>
      </c>
      <c r="AD64" s="61">
        <v>2044</v>
      </c>
      <c r="AE64" s="61">
        <v>2045</v>
      </c>
      <c r="AF64" s="61">
        <v>2046</v>
      </c>
      <c r="AG64" s="61">
        <v>2047</v>
      </c>
      <c r="AH64" s="61">
        <v>2048</v>
      </c>
      <c r="AI64" s="61">
        <v>2049</v>
      </c>
      <c r="AJ64" s="61">
        <v>2050</v>
      </c>
    </row>
    <row r="65" spans="1:36" x14ac:dyDescent="0.25">
      <c r="A65" t="s">
        <v>464</v>
      </c>
      <c r="B65" s="65">
        <f>F7</f>
        <v>1416</v>
      </c>
      <c r="C65" s="65">
        <f>$G$49*$B$57*(C60/$B$60)</f>
        <v>1505.1338746407823</v>
      </c>
      <c r="D65" s="65">
        <f>$G$49*$B$57*(D60/$B$60)</f>
        <v>1619.6299189074184</v>
      </c>
      <c r="E65" s="65">
        <f t="shared" ref="E65:AJ65" si="0">$G$49*$B$57*(E60/$B$60)</f>
        <v>1699.576504200538</v>
      </c>
      <c r="F65" s="65">
        <f t="shared" si="0"/>
        <v>1742.8570879677923</v>
      </c>
      <c r="G65" s="65">
        <f t="shared" si="0"/>
        <v>1787.3525218881991</v>
      </c>
      <c r="H65" s="65">
        <f t="shared" si="0"/>
        <v>1809.2405064102911</v>
      </c>
      <c r="I65" s="65">
        <f t="shared" si="0"/>
        <v>1813.1123934399636</v>
      </c>
      <c r="J65" s="65">
        <f t="shared" si="0"/>
        <v>1849.2650963488406</v>
      </c>
      <c r="K65" s="65">
        <f t="shared" si="0"/>
        <v>1853.3679026167397</v>
      </c>
      <c r="L65" s="65">
        <f t="shared" si="0"/>
        <v>1863.3389562397147</v>
      </c>
      <c r="M65" s="65">
        <f t="shared" si="0"/>
        <v>1880.2649455652158</v>
      </c>
      <c r="N65" s="65">
        <f t="shared" si="0"/>
        <v>1890.6681992292717</v>
      </c>
      <c r="O65" s="65">
        <f t="shared" si="0"/>
        <v>1899.8250101222513</v>
      </c>
      <c r="P65" s="65">
        <f t="shared" si="0"/>
        <v>1904.5981010054825</v>
      </c>
      <c r="Q65" s="65">
        <f t="shared" si="0"/>
        <v>1923.9277348699295</v>
      </c>
      <c r="R65" s="65">
        <f t="shared" si="0"/>
        <v>1924.0002024728994</v>
      </c>
      <c r="S65" s="65">
        <f t="shared" si="0"/>
        <v>1920.558072756118</v>
      </c>
      <c r="T65" s="65">
        <f t="shared" si="0"/>
        <v>1933.234366425228</v>
      </c>
      <c r="U65" s="65">
        <f t="shared" si="0"/>
        <v>1930.0588197782474</v>
      </c>
      <c r="V65" s="65">
        <f t="shared" si="0"/>
        <v>1925.6295021756198</v>
      </c>
      <c r="W65" s="65">
        <f t="shared" si="0"/>
        <v>1938.2979791145221</v>
      </c>
      <c r="X65" s="65">
        <f t="shared" si="0"/>
        <v>1915.9458762363329</v>
      </c>
      <c r="Y65" s="65">
        <f t="shared" si="0"/>
        <v>1921.7828566705764</v>
      </c>
      <c r="Z65" s="65">
        <f t="shared" si="0"/>
        <v>1937.6594499656596</v>
      </c>
      <c r="AA65" s="65">
        <f t="shared" si="0"/>
        <v>1944.3012279142304</v>
      </c>
      <c r="AB65" s="65">
        <f t="shared" si="0"/>
        <v>1945.3796109858361</v>
      </c>
      <c r="AC65" s="65">
        <f t="shared" si="0"/>
        <v>1939.3535633896879</v>
      </c>
      <c r="AD65" s="65">
        <f t="shared" si="0"/>
        <v>1925.8566758972884</v>
      </c>
      <c r="AE65" s="65">
        <f t="shared" si="0"/>
        <v>1891.4523149782572</v>
      </c>
      <c r="AF65" s="65">
        <f t="shared" si="0"/>
        <v>1879.0937388223908</v>
      </c>
      <c r="AG65" s="65">
        <f t="shared" si="0"/>
        <v>1876.9114054574579</v>
      </c>
      <c r="AH65" s="65">
        <f t="shared" si="0"/>
        <v>1856.3081331147525</v>
      </c>
      <c r="AI65" s="65">
        <f t="shared" si="0"/>
        <v>1845.5861848461764</v>
      </c>
      <c r="AJ65" s="65">
        <f t="shared" si="0"/>
        <v>1840.3266653560456</v>
      </c>
    </row>
    <row r="66" spans="1:36" x14ac:dyDescent="0.25">
      <c r="A66" t="s">
        <v>465</v>
      </c>
      <c r="B66">
        <f>F15</f>
        <v>8</v>
      </c>
      <c r="C66">
        <f t="shared" ref="C66:J66" si="1">B66</f>
        <v>8</v>
      </c>
      <c r="D66">
        <f t="shared" si="1"/>
        <v>8</v>
      </c>
      <c r="E66">
        <f t="shared" si="1"/>
        <v>8</v>
      </c>
      <c r="F66">
        <f t="shared" si="1"/>
        <v>8</v>
      </c>
      <c r="G66">
        <f t="shared" si="1"/>
        <v>8</v>
      </c>
      <c r="H66">
        <f t="shared" si="1"/>
        <v>8</v>
      </c>
      <c r="I66">
        <f t="shared" si="1"/>
        <v>8</v>
      </c>
      <c r="J66">
        <f t="shared" si="1"/>
        <v>8</v>
      </c>
      <c r="K66">
        <f t="shared" ref="K66" si="2">J66</f>
        <v>8</v>
      </c>
      <c r="L66">
        <f t="shared" ref="L66" si="3">K66</f>
        <v>8</v>
      </c>
      <c r="M66">
        <f t="shared" ref="M66" si="4">L66</f>
        <v>8</v>
      </c>
      <c r="N66">
        <f t="shared" ref="N66" si="5">M66</f>
        <v>8</v>
      </c>
      <c r="O66">
        <f t="shared" ref="O66" si="6">N66</f>
        <v>8</v>
      </c>
      <c r="P66">
        <f t="shared" ref="P66" si="7">O66</f>
        <v>8</v>
      </c>
      <c r="Q66">
        <f t="shared" ref="Q66" si="8">P66</f>
        <v>8</v>
      </c>
      <c r="R66">
        <f t="shared" ref="R66" si="9">Q66</f>
        <v>8</v>
      </c>
      <c r="S66">
        <f t="shared" ref="S66" si="10">R66</f>
        <v>8</v>
      </c>
      <c r="T66">
        <f t="shared" ref="T66" si="11">S66</f>
        <v>8</v>
      </c>
      <c r="U66">
        <f t="shared" ref="U66" si="12">T66</f>
        <v>8</v>
      </c>
      <c r="V66">
        <f t="shared" ref="V66" si="13">U66</f>
        <v>8</v>
      </c>
      <c r="W66">
        <f t="shared" ref="W66" si="14">V66</f>
        <v>8</v>
      </c>
      <c r="X66">
        <f t="shared" ref="X66" si="15">W66</f>
        <v>8</v>
      </c>
      <c r="Y66">
        <f t="shared" ref="Y66" si="16">X66</f>
        <v>8</v>
      </c>
      <c r="Z66">
        <f t="shared" ref="Z66" si="17">Y66</f>
        <v>8</v>
      </c>
      <c r="AA66">
        <f t="shared" ref="AA66" si="18">Z66</f>
        <v>8</v>
      </c>
      <c r="AB66">
        <f t="shared" ref="AB66" si="19">AA66</f>
        <v>8</v>
      </c>
      <c r="AC66">
        <f t="shared" ref="AC66" si="20">AB66</f>
        <v>8</v>
      </c>
      <c r="AD66">
        <f t="shared" ref="AD66" si="21">AC66</f>
        <v>8</v>
      </c>
      <c r="AE66">
        <f t="shared" ref="AE66" si="22">AD66</f>
        <v>8</v>
      </c>
      <c r="AF66">
        <f t="shared" ref="AF66" si="23">AE66</f>
        <v>8</v>
      </c>
      <c r="AG66">
        <f t="shared" ref="AG66" si="24">AF66</f>
        <v>8</v>
      </c>
      <c r="AH66">
        <f t="shared" ref="AH66" si="25">AG66</f>
        <v>8</v>
      </c>
      <c r="AI66">
        <f t="shared" ref="AI66" si="26">AH66</f>
        <v>8</v>
      </c>
      <c r="AJ66">
        <f t="shared" ref="AJ66" si="27">AI66</f>
        <v>8</v>
      </c>
    </row>
    <row r="67" spans="1:36" x14ac:dyDescent="0.25">
      <c r="A67" t="s">
        <v>466</v>
      </c>
      <c r="B67" s="65">
        <f>F16</f>
        <v>37</v>
      </c>
      <c r="C67" s="65">
        <f>$G$52*$B$58*(C61/$B$61)</f>
        <v>30.699225035806858</v>
      </c>
      <c r="D67" s="65">
        <f t="shared" ref="D67:AJ67" si="28">$G$52*$B$58*(D61/$B$61)</f>
        <v>30.940566623254199</v>
      </c>
      <c r="E67" s="65">
        <f t="shared" si="28"/>
        <v>31.699659038825676</v>
      </c>
      <c r="F67" s="65">
        <f t="shared" si="28"/>
        <v>33.199646308181357</v>
      </c>
      <c r="G67" s="65">
        <f t="shared" si="28"/>
        <v>33.165550886753969</v>
      </c>
      <c r="H67" s="65">
        <f t="shared" si="28"/>
        <v>33.117236575221561</v>
      </c>
      <c r="I67" s="65">
        <f t="shared" si="28"/>
        <v>33.067275078655285</v>
      </c>
      <c r="J67" s="65">
        <f t="shared" si="28"/>
        <v>32.848917424943778</v>
      </c>
      <c r="K67" s="65">
        <f t="shared" si="28"/>
        <v>32.636256675657009</v>
      </c>
      <c r="L67" s="65">
        <f t="shared" si="28"/>
        <v>31.987377952907501</v>
      </c>
      <c r="M67" s="65">
        <f t="shared" si="28"/>
        <v>31.9251812930477</v>
      </c>
      <c r="N67" s="65">
        <f t="shared" si="28"/>
        <v>31.886093835252076</v>
      </c>
      <c r="O67" s="65">
        <f t="shared" si="28"/>
        <v>32.032328716340118</v>
      </c>
      <c r="P67" s="65">
        <f t="shared" si="28"/>
        <v>32.047035592022709</v>
      </c>
      <c r="Q67" s="65">
        <f t="shared" si="28"/>
        <v>32.273088834382776</v>
      </c>
      <c r="R67" s="65">
        <f t="shared" si="28"/>
        <v>32.279494346217064</v>
      </c>
      <c r="S67" s="65">
        <f t="shared" si="28"/>
        <v>32.318232174499265</v>
      </c>
      <c r="T67" s="65">
        <f t="shared" si="28"/>
        <v>32.355053584325475</v>
      </c>
      <c r="U67" s="65">
        <f t="shared" si="28"/>
        <v>32.585104195133212</v>
      </c>
      <c r="V67" s="65">
        <f t="shared" si="28"/>
        <v>32.598212497372046</v>
      </c>
      <c r="W67" s="65">
        <f t="shared" si="28"/>
        <v>32.585831499308213</v>
      </c>
      <c r="X67" s="65">
        <f t="shared" si="28"/>
        <v>32.723108760081566</v>
      </c>
      <c r="Y67" s="65">
        <f t="shared" si="28"/>
        <v>32.85946053096643</v>
      </c>
      <c r="Z67" s="65">
        <f t="shared" si="28"/>
        <v>32.893830794845549</v>
      </c>
      <c r="AA67" s="65">
        <f t="shared" si="28"/>
        <v>32.872151895336309</v>
      </c>
      <c r="AB67" s="65">
        <f t="shared" si="28"/>
        <v>32.758963547135359</v>
      </c>
      <c r="AC67" s="65">
        <f t="shared" si="28"/>
        <v>32.756641408869676</v>
      </c>
      <c r="AD67" s="65">
        <f t="shared" si="28"/>
        <v>32.545377307960088</v>
      </c>
      <c r="AE67" s="65">
        <f t="shared" si="28"/>
        <v>32.376214583432471</v>
      </c>
      <c r="AF67" s="65">
        <f t="shared" si="28"/>
        <v>32.256463670567662</v>
      </c>
      <c r="AG67" s="65">
        <f t="shared" si="28"/>
        <v>32.252434517618767</v>
      </c>
      <c r="AH67" s="65">
        <f t="shared" si="28"/>
        <v>32.269721546929894</v>
      </c>
      <c r="AI67" s="65">
        <f t="shared" si="28"/>
        <v>32.173786573862309</v>
      </c>
      <c r="AJ67" s="65">
        <f t="shared" si="28"/>
        <v>32.174577447039738</v>
      </c>
    </row>
    <row r="68" spans="1:36" x14ac:dyDescent="0.25">
      <c r="A68" t="s">
        <v>468</v>
      </c>
      <c r="B68" s="65">
        <f>F25/10^3</f>
        <v>19.018000000000001</v>
      </c>
      <c r="C68" s="65">
        <f>$G$50*$B$57*(C60/$B$60)/1000</f>
        <v>22.495522394018604</v>
      </c>
      <c r="D68" s="65">
        <f t="shared" ref="D68:AJ68" si="29">$G$50*$B$57*(D60/$B$60)/1000</f>
        <v>24.206764411238748</v>
      </c>
      <c r="E68" s="65">
        <f t="shared" si="29"/>
        <v>25.401635000551543</v>
      </c>
      <c r="F68" s="65">
        <f t="shared" si="29"/>
        <v>26.048500610160414</v>
      </c>
      <c r="G68" s="65">
        <f t="shared" si="29"/>
        <v>26.713523201873041</v>
      </c>
      <c r="H68" s="65">
        <f t="shared" si="29"/>
        <v>27.040657986540729</v>
      </c>
      <c r="I68" s="65">
        <f t="shared" si="29"/>
        <v>27.098526673739002</v>
      </c>
      <c r="J68" s="65">
        <f t="shared" si="29"/>
        <v>27.638859963417328</v>
      </c>
      <c r="K68" s="65">
        <f t="shared" si="29"/>
        <v>27.7001799375624</v>
      </c>
      <c r="L68" s="65">
        <f t="shared" si="29"/>
        <v>27.849205923786467</v>
      </c>
      <c r="M68" s="65">
        <f t="shared" si="29"/>
        <v>28.102179415598687</v>
      </c>
      <c r="N68" s="65">
        <f t="shared" si="29"/>
        <v>28.257665003766899</v>
      </c>
      <c r="O68" s="65">
        <f t="shared" si="29"/>
        <v>28.394521430940181</v>
      </c>
      <c r="P68" s="65">
        <f t="shared" si="29"/>
        <v>28.465859386095858</v>
      </c>
      <c r="Q68" s="65">
        <f t="shared" si="29"/>
        <v>28.754757416225985</v>
      </c>
      <c r="R68" s="65">
        <f t="shared" si="29"/>
        <v>28.75584050698151</v>
      </c>
      <c r="S68" s="65">
        <f t="shared" si="29"/>
        <v>28.704394913050233</v>
      </c>
      <c r="T68" s="65">
        <f t="shared" si="29"/>
        <v>28.893853042264606</v>
      </c>
      <c r="U68" s="65">
        <f t="shared" si="29"/>
        <v>28.846391761966565</v>
      </c>
      <c r="V68" s="65">
        <f t="shared" si="29"/>
        <v>28.780191794642125</v>
      </c>
      <c r="W68" s="65">
        <f t="shared" si="29"/>
        <v>28.969533096089613</v>
      </c>
      <c r="X68" s="65">
        <f t="shared" si="29"/>
        <v>28.635461662762982</v>
      </c>
      <c r="Y68" s="65">
        <f t="shared" si="29"/>
        <v>28.722700363774415</v>
      </c>
      <c r="Z68" s="65">
        <f t="shared" si="29"/>
        <v>28.959989727881986</v>
      </c>
      <c r="AA68" s="65">
        <f t="shared" si="29"/>
        <v>29.059256821059215</v>
      </c>
      <c r="AB68" s="65">
        <f t="shared" si="29"/>
        <v>29.075374185066075</v>
      </c>
      <c r="AC68" s="65">
        <f t="shared" si="29"/>
        <v>28.985309712443048</v>
      </c>
      <c r="AD68" s="65">
        <f t="shared" si="29"/>
        <v>28.783587101617293</v>
      </c>
      <c r="AE68" s="65">
        <f t="shared" si="29"/>
        <v>28.269384289132802</v>
      </c>
      <c r="AF68" s="65">
        <f t="shared" si="29"/>
        <v>28.08467472186004</v>
      </c>
      <c r="AG68" s="65">
        <f t="shared" si="29"/>
        <v>28.052057869692142</v>
      </c>
      <c r="AH68" s="65">
        <f t="shared" si="29"/>
        <v>27.744124215294779</v>
      </c>
      <c r="AI68" s="65">
        <f t="shared" si="29"/>
        <v>27.583875461714083</v>
      </c>
      <c r="AJ68" s="65">
        <f t="shared" si="29"/>
        <v>27.505267411981464</v>
      </c>
    </row>
    <row r="69" spans="1:36" x14ac:dyDescent="0.25">
      <c r="A69" t="s">
        <v>467</v>
      </c>
      <c r="B69" s="65">
        <f>F27/10^3</f>
        <v>3.71</v>
      </c>
      <c r="C69" s="65">
        <f>$G$53*$B$58*(C61/$B$61)/1000</f>
        <v>3.8531836003122044</v>
      </c>
      <c r="D69" s="65">
        <f t="shared" ref="D69:AJ69" si="30">$G$53*$B$58*(D61/$B$61)/1000</f>
        <v>3.883475356724321</v>
      </c>
      <c r="E69" s="65">
        <f t="shared" si="30"/>
        <v>3.9787521086094202</v>
      </c>
      <c r="F69" s="65">
        <f t="shared" si="30"/>
        <v>4.1670215629756804</v>
      </c>
      <c r="G69" s="65">
        <f t="shared" si="30"/>
        <v>4.1627421090631964</v>
      </c>
      <c r="H69" s="65">
        <f t="shared" si="30"/>
        <v>4.1566779848828643</v>
      </c>
      <c r="I69" s="65">
        <f t="shared" si="30"/>
        <v>4.1504071158628264</v>
      </c>
      <c r="J69" s="65">
        <f t="shared" si="30"/>
        <v>4.1230001657100956</v>
      </c>
      <c r="K69" s="65">
        <f t="shared" si="30"/>
        <v>4.0963082570177374</v>
      </c>
      <c r="L69" s="65">
        <f t="shared" si="30"/>
        <v>4.0148648704119294</v>
      </c>
      <c r="M69" s="65">
        <f t="shared" si="30"/>
        <v>4.0070583166801512</v>
      </c>
      <c r="N69" s="65">
        <f t="shared" si="30"/>
        <v>4.0021522921410844</v>
      </c>
      <c r="O69" s="65">
        <f t="shared" si="30"/>
        <v>4.0205068220989197</v>
      </c>
      <c r="P69" s="65">
        <f t="shared" si="30"/>
        <v>4.0223527414055447</v>
      </c>
      <c r="Q69" s="65">
        <f t="shared" si="30"/>
        <v>4.0507255959399258</v>
      </c>
      <c r="R69" s="65">
        <f t="shared" si="30"/>
        <v>4.0515295775753808</v>
      </c>
      <c r="S69" s="65">
        <f t="shared" si="30"/>
        <v>4.056391718703523</v>
      </c>
      <c r="T69" s="65">
        <f t="shared" si="30"/>
        <v>4.0610133224188365</v>
      </c>
      <c r="U69" s="65">
        <f t="shared" si="30"/>
        <v>4.0898879027957777</v>
      </c>
      <c r="V69" s="65">
        <f t="shared" si="30"/>
        <v>4.0915331786995068</v>
      </c>
      <c r="W69" s="65">
        <f t="shared" si="30"/>
        <v>4.0899791896773277</v>
      </c>
      <c r="X69" s="65">
        <f t="shared" si="30"/>
        <v>4.1072094125670162</v>
      </c>
      <c r="Y69" s="65">
        <f t="shared" si="30"/>
        <v>4.1243234734866094</v>
      </c>
      <c r="Z69" s="65">
        <f t="shared" si="30"/>
        <v>4.1286374239841521</v>
      </c>
      <c r="AA69" s="65">
        <f t="shared" si="30"/>
        <v>4.1259164178361356</v>
      </c>
      <c r="AB69" s="65">
        <f t="shared" si="30"/>
        <v>4.1117096915580076</v>
      </c>
      <c r="AC69" s="65">
        <f t="shared" si="30"/>
        <v>4.1114182306148557</v>
      </c>
      <c r="AD69" s="65">
        <f t="shared" si="30"/>
        <v>4.0849016208955531</v>
      </c>
      <c r="AE69" s="65">
        <f t="shared" si="30"/>
        <v>4.0636693247977309</v>
      </c>
      <c r="AF69" s="65">
        <f t="shared" si="30"/>
        <v>4.0486389045498283</v>
      </c>
      <c r="AG69" s="65">
        <f t="shared" si="30"/>
        <v>4.0481331893062764</v>
      </c>
      <c r="AH69" s="65">
        <f t="shared" si="30"/>
        <v>4.050302954105292</v>
      </c>
      <c r="AI69" s="65">
        <f t="shared" si="30"/>
        <v>4.0382617685545403</v>
      </c>
      <c r="AJ69" s="65">
        <f t="shared" si="30"/>
        <v>4.0383610342380765</v>
      </c>
    </row>
    <row r="71" spans="1:36" x14ac:dyDescent="0.25">
      <c r="A71" t="s">
        <v>312</v>
      </c>
      <c r="B71" s="61">
        <v>2016</v>
      </c>
      <c r="C71" s="61">
        <v>2017</v>
      </c>
      <c r="D71" s="61">
        <v>2018</v>
      </c>
      <c r="E71" s="61">
        <v>2019</v>
      </c>
      <c r="F71" s="61">
        <v>2020</v>
      </c>
      <c r="G71" s="61">
        <v>2021</v>
      </c>
      <c r="H71" s="61">
        <v>2022</v>
      </c>
      <c r="I71" s="61">
        <v>2023</v>
      </c>
      <c r="J71" s="61">
        <v>2024</v>
      </c>
      <c r="K71" s="61">
        <v>2025</v>
      </c>
      <c r="L71" s="61">
        <v>2026</v>
      </c>
      <c r="M71" s="61">
        <v>2027</v>
      </c>
      <c r="N71" s="61">
        <v>2028</v>
      </c>
      <c r="O71" s="61">
        <v>2029</v>
      </c>
      <c r="P71" s="61">
        <v>2030</v>
      </c>
      <c r="Q71" s="61">
        <v>2031</v>
      </c>
      <c r="R71" s="61">
        <v>2032</v>
      </c>
      <c r="S71" s="61">
        <v>2033</v>
      </c>
      <c r="T71" s="61">
        <v>2034</v>
      </c>
      <c r="U71" s="61">
        <v>2035</v>
      </c>
      <c r="V71" s="61">
        <v>2036</v>
      </c>
      <c r="W71" s="61">
        <v>2037</v>
      </c>
      <c r="X71" s="61">
        <v>2038</v>
      </c>
      <c r="Y71" s="61">
        <v>2039</v>
      </c>
      <c r="Z71" s="61">
        <v>2040</v>
      </c>
      <c r="AA71" s="61">
        <v>2041</v>
      </c>
      <c r="AB71" s="61">
        <v>2042</v>
      </c>
      <c r="AC71" s="61">
        <v>2043</v>
      </c>
      <c r="AD71" s="61">
        <v>2044</v>
      </c>
      <c r="AE71" s="61">
        <v>2045</v>
      </c>
      <c r="AF71" s="61">
        <v>2046</v>
      </c>
      <c r="AG71" s="61">
        <v>2047</v>
      </c>
      <c r="AH71" s="61">
        <v>2048</v>
      </c>
      <c r="AI71" s="61">
        <v>2049</v>
      </c>
      <c r="AJ71" s="61">
        <v>2050</v>
      </c>
    </row>
    <row r="72" spans="1:36" x14ac:dyDescent="0.25">
      <c r="A72" t="s">
        <v>462</v>
      </c>
      <c r="B72" s="65">
        <f t="shared" ref="B72:E72" si="31">SUM(B65:B67)</f>
        <v>1461</v>
      </c>
      <c r="C72" s="65">
        <f t="shared" si="31"/>
        <v>1543.8330996765892</v>
      </c>
      <c r="D72" s="65">
        <f t="shared" si="31"/>
        <v>1658.5704855306726</v>
      </c>
      <c r="E72" s="65">
        <f t="shared" si="31"/>
        <v>1739.2761632393638</v>
      </c>
      <c r="F72" s="65">
        <f t="shared" ref="F72:AJ72" si="32">SUM(F65:F67)</f>
        <v>1784.0567342759737</v>
      </c>
      <c r="G72" s="65">
        <f t="shared" si="32"/>
        <v>1828.518072774953</v>
      </c>
      <c r="H72" s="65">
        <f t="shared" si="32"/>
        <v>1850.3577429855127</v>
      </c>
      <c r="I72" s="65">
        <f t="shared" si="32"/>
        <v>1854.1796685186189</v>
      </c>
      <c r="J72" s="65">
        <f t="shared" si="32"/>
        <v>1890.1140137737843</v>
      </c>
      <c r="K72" s="65">
        <f t="shared" si="32"/>
        <v>1894.0041592923967</v>
      </c>
      <c r="L72" s="65">
        <f t="shared" si="32"/>
        <v>1903.3263341926222</v>
      </c>
      <c r="M72" s="65">
        <f t="shared" si="32"/>
        <v>1920.1901268582635</v>
      </c>
      <c r="N72" s="65">
        <f t="shared" si="32"/>
        <v>1930.5542930645238</v>
      </c>
      <c r="O72" s="65">
        <f t="shared" si="32"/>
        <v>1939.8573388385914</v>
      </c>
      <c r="P72" s="65">
        <f t="shared" si="32"/>
        <v>1944.6451365975051</v>
      </c>
      <c r="Q72" s="65">
        <f t="shared" si="32"/>
        <v>1964.2008237043124</v>
      </c>
      <c r="R72" s="65">
        <f t="shared" si="32"/>
        <v>1964.2796968191165</v>
      </c>
      <c r="S72" s="65">
        <f t="shared" si="32"/>
        <v>1960.8763049306174</v>
      </c>
      <c r="T72" s="65">
        <f t="shared" si="32"/>
        <v>1973.5894200095536</v>
      </c>
      <c r="U72" s="65">
        <f t="shared" si="32"/>
        <v>1970.6439239733807</v>
      </c>
      <c r="V72" s="65">
        <f t="shared" si="32"/>
        <v>1966.2277146729919</v>
      </c>
      <c r="W72" s="65">
        <f t="shared" si="32"/>
        <v>1978.8838106138303</v>
      </c>
      <c r="X72" s="65">
        <f t="shared" si="32"/>
        <v>1956.6689849964143</v>
      </c>
      <c r="Y72" s="65">
        <f t="shared" si="32"/>
        <v>1962.6423172015429</v>
      </c>
      <c r="Z72" s="65">
        <f t="shared" si="32"/>
        <v>1978.5532807605052</v>
      </c>
      <c r="AA72" s="65">
        <f t="shared" si="32"/>
        <v>1985.1733798095668</v>
      </c>
      <c r="AB72" s="65">
        <f t="shared" si="32"/>
        <v>1986.1385745329715</v>
      </c>
      <c r="AC72" s="65">
        <f t="shared" si="32"/>
        <v>1980.1102047985576</v>
      </c>
      <c r="AD72" s="65">
        <f t="shared" si="32"/>
        <v>1966.4020532052484</v>
      </c>
      <c r="AE72" s="65">
        <f t="shared" si="32"/>
        <v>1931.8285295616897</v>
      </c>
      <c r="AF72" s="65">
        <f t="shared" si="32"/>
        <v>1919.3502024929585</v>
      </c>
      <c r="AG72" s="65">
        <f t="shared" si="32"/>
        <v>1917.1638399750766</v>
      </c>
      <c r="AH72" s="65">
        <f t="shared" si="32"/>
        <v>1896.5778546616825</v>
      </c>
      <c r="AI72" s="65">
        <f t="shared" si="32"/>
        <v>1885.7599714200387</v>
      </c>
      <c r="AJ72" s="65">
        <f t="shared" si="32"/>
        <v>1880.5012428030855</v>
      </c>
    </row>
    <row r="73" spans="1:36" x14ac:dyDescent="0.25">
      <c r="A73" t="s">
        <v>463</v>
      </c>
      <c r="B73" s="65">
        <f t="shared" ref="B73:E73" si="33">SUM(B68:B69)</f>
        <v>22.728000000000002</v>
      </c>
      <c r="C73" s="65">
        <f t="shared" si="33"/>
        <v>26.348705994330807</v>
      </c>
      <c r="D73" s="65">
        <f t="shared" si="33"/>
        <v>28.09023976796307</v>
      </c>
      <c r="E73" s="65">
        <f t="shared" si="33"/>
        <v>29.380387109160964</v>
      </c>
      <c r="F73" s="65">
        <f t="shared" ref="F73:AJ73" si="34">SUM(F68:F69)</f>
        <v>30.215522173136094</v>
      </c>
      <c r="G73" s="65">
        <f t="shared" si="34"/>
        <v>30.876265310936237</v>
      </c>
      <c r="H73" s="65">
        <f t="shared" si="34"/>
        <v>31.197335971423595</v>
      </c>
      <c r="I73" s="65">
        <f t="shared" si="34"/>
        <v>31.248933789601828</v>
      </c>
      <c r="J73" s="65">
        <f t="shared" si="34"/>
        <v>31.761860129127424</v>
      </c>
      <c r="K73" s="65">
        <f t="shared" si="34"/>
        <v>31.796488194580135</v>
      </c>
      <c r="L73" s="65">
        <f t="shared" si="34"/>
        <v>31.864070794198398</v>
      </c>
      <c r="M73" s="65">
        <f t="shared" si="34"/>
        <v>32.109237732278842</v>
      </c>
      <c r="N73" s="65">
        <f t="shared" si="34"/>
        <v>32.259817295907986</v>
      </c>
      <c r="O73" s="65">
        <f t="shared" si="34"/>
        <v>32.415028253039097</v>
      </c>
      <c r="P73" s="65">
        <f t="shared" si="34"/>
        <v>32.488212127501399</v>
      </c>
      <c r="Q73" s="65">
        <f t="shared" si="34"/>
        <v>32.805483012165908</v>
      </c>
      <c r="R73" s="65">
        <f t="shared" si="34"/>
        <v>32.807370084556894</v>
      </c>
      <c r="S73" s="65">
        <f t="shared" si="34"/>
        <v>32.76078663175376</v>
      </c>
      <c r="T73" s="65">
        <f t="shared" si="34"/>
        <v>32.95486636468344</v>
      </c>
      <c r="U73" s="65">
        <f t="shared" si="34"/>
        <v>32.936279664762345</v>
      </c>
      <c r="V73" s="65">
        <f t="shared" si="34"/>
        <v>32.871724973341628</v>
      </c>
      <c r="W73" s="65">
        <f t="shared" si="34"/>
        <v>33.059512285766942</v>
      </c>
      <c r="X73" s="65">
        <f t="shared" si="34"/>
        <v>32.742671075329994</v>
      </c>
      <c r="Y73" s="65">
        <f t="shared" si="34"/>
        <v>32.847023837261027</v>
      </c>
      <c r="Z73" s="65">
        <f t="shared" si="34"/>
        <v>33.088627151866135</v>
      </c>
      <c r="AA73" s="65">
        <f t="shared" si="34"/>
        <v>33.185173238895352</v>
      </c>
      <c r="AB73" s="65">
        <f t="shared" si="34"/>
        <v>33.187083876624079</v>
      </c>
      <c r="AC73" s="65">
        <f t="shared" si="34"/>
        <v>33.0967279430579</v>
      </c>
      <c r="AD73" s="65">
        <f t="shared" si="34"/>
        <v>32.868488722512843</v>
      </c>
      <c r="AE73" s="65">
        <f t="shared" si="34"/>
        <v>32.333053613930531</v>
      </c>
      <c r="AF73" s="65">
        <f t="shared" si="34"/>
        <v>32.133313626409866</v>
      </c>
      <c r="AG73" s="65">
        <f t="shared" si="34"/>
        <v>32.100191058998419</v>
      </c>
      <c r="AH73" s="65">
        <f t="shared" si="34"/>
        <v>31.79442716940007</v>
      </c>
      <c r="AI73" s="65">
        <f t="shared" si="34"/>
        <v>31.622137230268624</v>
      </c>
      <c r="AJ73" s="65">
        <f t="shared" si="34"/>
        <v>31.54362844621954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K200"/>
  <sheetViews>
    <sheetView topLeftCell="J171" workbookViewId="0">
      <selection activeCell="D200" sqref="D200:AK200"/>
    </sheetView>
  </sheetViews>
  <sheetFormatPr defaultRowHeight="15" x14ac:dyDescent="0.25"/>
  <cols>
    <col min="1" max="1" width="61.28515625" customWidth="1"/>
    <col min="2" max="2" width="14" bestFit="1" customWidth="1"/>
  </cols>
  <sheetData>
    <row r="1" spans="1:37" x14ac:dyDescent="0.25">
      <c r="A1" s="55" t="s">
        <v>1163</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row>
    <row r="2" spans="1:37" x14ac:dyDescent="0.25">
      <c r="A2" s="172" t="s">
        <v>1168</v>
      </c>
      <c r="B2" s="173">
        <v>2015</v>
      </c>
      <c r="C2" s="173">
        <v>2016</v>
      </c>
      <c r="D2" s="173">
        <v>2017</v>
      </c>
      <c r="E2" s="173">
        <v>2018</v>
      </c>
      <c r="F2" s="173">
        <v>2019</v>
      </c>
      <c r="G2" s="173">
        <v>2020</v>
      </c>
      <c r="H2" s="173">
        <v>2021</v>
      </c>
      <c r="I2" s="173">
        <v>2022</v>
      </c>
      <c r="J2" s="173">
        <v>2023</v>
      </c>
      <c r="K2" s="173">
        <v>2024</v>
      </c>
      <c r="L2" s="173">
        <v>2025</v>
      </c>
      <c r="M2" s="173">
        <v>2026</v>
      </c>
      <c r="N2" s="173">
        <v>2027</v>
      </c>
      <c r="O2" s="173">
        <v>2028</v>
      </c>
      <c r="P2" s="173">
        <v>2029</v>
      </c>
      <c r="Q2" s="173">
        <v>2030</v>
      </c>
      <c r="R2" s="173">
        <v>2031</v>
      </c>
      <c r="S2" s="173">
        <v>2032</v>
      </c>
      <c r="T2" s="173">
        <v>2033</v>
      </c>
      <c r="U2" s="173">
        <v>2034</v>
      </c>
      <c r="V2" s="173">
        <v>2035</v>
      </c>
      <c r="W2" s="173">
        <v>2036</v>
      </c>
      <c r="X2" s="173">
        <v>2037</v>
      </c>
      <c r="Y2" s="173">
        <v>2038</v>
      </c>
      <c r="Z2" s="173">
        <v>2039</v>
      </c>
      <c r="AA2" s="173">
        <v>2040</v>
      </c>
      <c r="AB2" s="173">
        <v>2041</v>
      </c>
      <c r="AC2" s="173">
        <v>2042</v>
      </c>
      <c r="AD2" s="173">
        <v>2043</v>
      </c>
      <c r="AE2" s="173">
        <v>2044</v>
      </c>
      <c r="AF2" s="173">
        <v>2045</v>
      </c>
      <c r="AG2" s="173">
        <v>2046</v>
      </c>
      <c r="AH2" s="173">
        <v>2047</v>
      </c>
      <c r="AI2" s="173">
        <v>2048</v>
      </c>
      <c r="AJ2" s="173">
        <v>2049</v>
      </c>
      <c r="AK2" s="173">
        <v>2050</v>
      </c>
    </row>
    <row r="3" spans="1:37" x14ac:dyDescent="0.25">
      <c r="A3" s="175" t="s">
        <v>1169</v>
      </c>
      <c r="B3" s="177"/>
      <c r="C3" s="177" t="str">
        <f>IF(B3="","",$B3*'AEO 2018_Table 13'!D16/'AEO 2018_Table 13'!$C$16)</f>
        <v/>
      </c>
      <c r="D3" s="177" t="str">
        <f>IF(C3="","",$B3*'AEO 2018_Table 13'!E16/'AEO 2018_Table 13'!$C$16)</f>
        <v/>
      </c>
      <c r="E3" s="177" t="str">
        <f>IF(D3="","",$B3*'AEO 2018_Table 13'!F16/'AEO 2018_Table 13'!$C$16)</f>
        <v/>
      </c>
      <c r="F3" s="177" t="str">
        <f>IF(E3="","",$B3*'AEO 2018_Table 13'!G16/'AEO 2018_Table 13'!$C$16)</f>
        <v/>
      </c>
      <c r="G3" s="177" t="str">
        <f>IF(F3="","",$B3*'AEO 2018_Table 13'!H16/'AEO 2018_Table 13'!$C$16)</f>
        <v/>
      </c>
      <c r="H3" s="177" t="str">
        <f>IF(G3="","",$B3*'AEO 2018_Table 13'!I16/'AEO 2018_Table 13'!$C$16)</f>
        <v/>
      </c>
      <c r="I3" s="177" t="str">
        <f>IF(H3="","",$B3*'AEO 2018_Table 13'!J16/'AEO 2018_Table 13'!$C$16)</f>
        <v/>
      </c>
      <c r="J3" s="177" t="str">
        <f>IF(I3="","",$B3*'AEO 2018_Table 13'!K16/'AEO 2018_Table 13'!$C$16)</f>
        <v/>
      </c>
      <c r="K3" s="177" t="str">
        <f>IF(J3="","",$B3*'AEO 2018_Table 13'!L16/'AEO 2018_Table 13'!$C$16)</f>
        <v/>
      </c>
      <c r="L3" s="177" t="str">
        <f>IF(K3="","",$B3*'AEO 2018_Table 13'!M16/'AEO 2018_Table 13'!$C$16)</f>
        <v/>
      </c>
      <c r="M3" s="177" t="str">
        <f>IF(L3="","",$B3*'AEO 2018_Table 13'!N16/'AEO 2018_Table 13'!$C$16)</f>
        <v/>
      </c>
      <c r="N3" s="177" t="str">
        <f>IF(M3="","",$B3*'AEO 2018_Table 13'!O16/'AEO 2018_Table 13'!$C$16)</f>
        <v/>
      </c>
      <c r="O3" s="177" t="str">
        <f>IF(N3="","",$B3*'AEO 2018_Table 13'!P16/'AEO 2018_Table 13'!$C$16)</f>
        <v/>
      </c>
      <c r="P3" s="177" t="str">
        <f>IF(O3="","",$B3*'AEO 2018_Table 13'!Q16/'AEO 2018_Table 13'!$C$16)</f>
        <v/>
      </c>
      <c r="Q3" s="177" t="str">
        <f>IF(P3="","",$B3*'AEO 2018_Table 13'!R16/'AEO 2018_Table 13'!$C$16)</f>
        <v/>
      </c>
      <c r="R3" s="177" t="str">
        <f>IF(Q3="","",$B3*'AEO 2018_Table 13'!S16/'AEO 2018_Table 13'!$C$16)</f>
        <v/>
      </c>
      <c r="S3" s="177" t="str">
        <f>IF(R3="","",$B3*'AEO 2018_Table 13'!T16/'AEO 2018_Table 13'!$C$16)</f>
        <v/>
      </c>
      <c r="T3" s="177" t="str">
        <f>IF(S3="","",$B3*'AEO 2018_Table 13'!U16/'AEO 2018_Table 13'!$C$16)</f>
        <v/>
      </c>
      <c r="U3" s="177" t="str">
        <f>IF(T3="","",$B3*'AEO 2018_Table 13'!V16/'AEO 2018_Table 13'!$C$16)</f>
        <v/>
      </c>
      <c r="V3" s="177" t="str">
        <f>IF(U3="","",$B3*'AEO 2018_Table 13'!W16/'AEO 2018_Table 13'!$C$16)</f>
        <v/>
      </c>
      <c r="W3" s="177" t="str">
        <f>IF(V3="","",$B3*'AEO 2018_Table 13'!X16/'AEO 2018_Table 13'!$C$16)</f>
        <v/>
      </c>
      <c r="X3" s="177" t="str">
        <f>IF(W3="","",$B3*'AEO 2018_Table 13'!Y16/'AEO 2018_Table 13'!$C$16)</f>
        <v/>
      </c>
      <c r="Y3" s="177" t="str">
        <f>IF(X3="","",$B3*'AEO 2018_Table 13'!Z16/'AEO 2018_Table 13'!$C$16)</f>
        <v/>
      </c>
      <c r="Z3" s="177" t="str">
        <f>IF(Y3="","",$B3*'AEO 2018_Table 13'!AA16/'AEO 2018_Table 13'!$C$16)</f>
        <v/>
      </c>
      <c r="AA3" s="177" t="str">
        <f>IF(Z3="","",$B3*'AEO 2018_Table 13'!AB16/'AEO 2018_Table 13'!$C$16)</f>
        <v/>
      </c>
      <c r="AB3" s="177" t="str">
        <f>IF(AA3="","",$B3*'AEO 2018_Table 13'!AC16/'AEO 2018_Table 13'!$C$16)</f>
        <v/>
      </c>
      <c r="AC3" s="177" t="str">
        <f>IF(AB3="","",$B3*'AEO 2018_Table 13'!AD16/'AEO 2018_Table 13'!$C$16)</f>
        <v/>
      </c>
      <c r="AD3" s="177" t="str">
        <f>IF(AC3="","",$B3*'AEO 2018_Table 13'!AE16/'AEO 2018_Table 13'!$C$16)</f>
        <v/>
      </c>
      <c r="AE3" s="177" t="str">
        <f>IF(AD3="","",$B3*'AEO 2018_Table 13'!AF16/'AEO 2018_Table 13'!$C$16)</f>
        <v/>
      </c>
      <c r="AF3" s="177" t="str">
        <f>IF(AE3="","",$B3*'AEO 2018_Table 13'!AG16/'AEO 2018_Table 13'!$C$16)</f>
        <v/>
      </c>
      <c r="AG3" s="177" t="str">
        <f>IF(AF3="","",$B3*'AEO 2018_Table 13'!AH16/'AEO 2018_Table 13'!$C$16)</f>
        <v/>
      </c>
      <c r="AH3" s="177" t="str">
        <f>IF(AG3="","",$B3*'AEO 2018_Table 13'!AI16/'AEO 2018_Table 13'!$C$16)</f>
        <v/>
      </c>
      <c r="AI3" s="177" t="str">
        <f>IF(AH3="","",$B3*'AEO 2018_Table 13'!AJ16/'AEO 2018_Table 13'!$C$16)</f>
        <v/>
      </c>
      <c r="AJ3" s="177" t="str">
        <f>IF(AI3="","",$B3*'AEO 2018_Table 13'!AK16/'AEO 2018_Table 13'!$C$16)</f>
        <v/>
      </c>
      <c r="AK3" s="177" t="str">
        <f>IF(AJ3="","",$B3*'AEO 2018_Table 13'!AL16/'AEO 2018_Table 13'!$C$16)</f>
        <v/>
      </c>
    </row>
    <row r="4" spans="1:37" x14ac:dyDescent="0.25">
      <c r="A4" s="179" t="s">
        <v>1098</v>
      </c>
      <c r="B4" s="164">
        <v>4630.1991003726653</v>
      </c>
      <c r="C4" s="164">
        <f>IF(B4="","",$B4*'AEO 2018_Table 13'!C$16/'AEO 2018_Table 13'!$C$16)</f>
        <v>4630.1991003726653</v>
      </c>
      <c r="D4" s="164">
        <f>IF(C4="","",$B4*'AEO 2018_Table 13'!D$16/'AEO 2018_Table 13'!$C$16)</f>
        <v>4657.5448234781043</v>
      </c>
      <c r="E4" s="164">
        <f>IF(D4="","",$B4*'AEO 2018_Table 13'!E$16/'AEO 2018_Table 13'!$C$16)</f>
        <v>4977.0773223632041</v>
      </c>
      <c r="F4" s="164">
        <f>IF(E4="","",$B4*'AEO 2018_Table 13'!F$16/'AEO 2018_Table 13'!$C$16)</f>
        <v>5360.7644372629748</v>
      </c>
      <c r="G4" s="164">
        <f>IF(F4="","",$B4*'AEO 2018_Table 13'!G$16/'AEO 2018_Table 13'!$C$16)</f>
        <v>5613.6408767122666</v>
      </c>
      <c r="H4" s="164">
        <f>IF(G4="","",$B4*'AEO 2018_Table 13'!H$16/'AEO 2018_Table 13'!$C$16)</f>
        <v>5687.2435376838775</v>
      </c>
      <c r="I4" s="164">
        <f>IF(H4="","",$B4*'AEO 2018_Table 13'!I$16/'AEO 2018_Table 13'!$C$16)</f>
        <v>5816.9195058740588</v>
      </c>
      <c r="J4" s="164">
        <f>IF(I4="","",$B4*'AEO 2018_Table 13'!J$16/'AEO 2018_Table 13'!$C$16)</f>
        <v>5947.9993348491671</v>
      </c>
      <c r="K4" s="164">
        <f>IF(J4="","",$B4*'AEO 2018_Table 13'!K$16/'AEO 2018_Table 13'!$C$16)</f>
        <v>6046.2573867927103</v>
      </c>
      <c r="L4" s="164">
        <f>IF(K4="","",$B4*'AEO 2018_Table 13'!L$16/'AEO 2018_Table 13'!$C$16)</f>
        <v>6150.49645629927</v>
      </c>
      <c r="M4" s="164">
        <f>IF(L4="","",$B4*'AEO 2018_Table 13'!M$16/'AEO 2018_Table 13'!$C$16)</f>
        <v>6227.9030162537447</v>
      </c>
      <c r="N4" s="164">
        <f>IF(M4="","",$B4*'AEO 2018_Table 13'!N$16/'AEO 2018_Table 13'!$C$16)</f>
        <v>6328.0363773334711</v>
      </c>
      <c r="O4" s="164">
        <f>IF(N4="","",$B4*'AEO 2018_Table 13'!O$16/'AEO 2018_Table 13'!$C$16)</f>
        <v>6419.3414684306035</v>
      </c>
      <c r="P4" s="164">
        <f>IF(O4="","",$B4*'AEO 2018_Table 13'!P$16/'AEO 2018_Table 13'!$C$16)</f>
        <v>6473.2629224381908</v>
      </c>
      <c r="Q4" s="164">
        <f>IF(P4="","",$B4*'AEO 2018_Table 13'!Q$16/'AEO 2018_Table 13'!$C$16)</f>
        <v>6501.8502579714359</v>
      </c>
      <c r="R4" s="164">
        <f>IF(Q4="","",$B4*'AEO 2018_Table 13'!R$16/'AEO 2018_Table 13'!$C$16)</f>
        <v>6531.980499756678</v>
      </c>
      <c r="S4" s="164">
        <f>IF(R4="","",$B4*'AEO 2018_Table 13'!S$16/'AEO 2018_Table 13'!$C$16)</f>
        <v>6551.2937260717617</v>
      </c>
      <c r="T4" s="164">
        <f>IF(S4="","",$B4*'AEO 2018_Table 13'!T$16/'AEO 2018_Table 13'!$C$16)</f>
        <v>6574.0604017932565</v>
      </c>
      <c r="U4" s="164">
        <f>IF(T4="","",$B4*'AEO 2018_Table 13'!U$16/'AEO 2018_Table 13'!$C$16)</f>
        <v>6625.1076192794981</v>
      </c>
      <c r="V4" s="164">
        <f>IF(U4="","",$B4*'AEO 2018_Table 13'!V$16/'AEO 2018_Table 13'!$C$16)</f>
        <v>6655.0324725194423</v>
      </c>
      <c r="W4" s="164">
        <f>IF(V4="","",$B4*'AEO 2018_Table 13'!W$16/'AEO 2018_Table 13'!$C$16)</f>
        <v>6706.0554558760723</v>
      </c>
      <c r="X4" s="164">
        <f>IF(W4="","",$B4*'AEO 2018_Table 13'!X$16/'AEO 2018_Table 13'!$C$16)</f>
        <v>6767.6328323620928</v>
      </c>
      <c r="Y4" s="164">
        <f>IF(X4="","",$B4*'AEO 2018_Table 13'!Y$16/'AEO 2018_Table 13'!$C$16)</f>
        <v>6801.0642438456825</v>
      </c>
      <c r="Z4" s="164">
        <f>IF(Y4="","",$B4*'AEO 2018_Table 13'!Z$16/'AEO 2018_Table 13'!$C$16)</f>
        <v>6844.1059486433369</v>
      </c>
      <c r="AA4" s="164">
        <f>IF(Z4="","",$B4*'AEO 2018_Table 13'!AA$16/'AEO 2018_Table 13'!$C$16)</f>
        <v>6901.522617259433</v>
      </c>
      <c r="AB4" s="164">
        <f>IF(AA4="","",$B4*'AEO 2018_Table 13'!AB$16/'AEO 2018_Table 13'!$C$16)</f>
        <v>6944.3592772583088</v>
      </c>
      <c r="AC4" s="164">
        <f>IF(AB4="","",$B4*'AEO 2018_Table 13'!AC$16/'AEO 2018_Table 13'!$C$16)</f>
        <v>6998.3902145323027</v>
      </c>
      <c r="AD4" s="164">
        <f>IF(AC4="","",$B4*'AEO 2018_Table 13'!AD$16/'AEO 2018_Table 13'!$C$16)</f>
        <v>7045.3513171433133</v>
      </c>
      <c r="AE4" s="164">
        <f>IF(AD4="","",$B4*'AEO 2018_Table 13'!AE$16/'AEO 2018_Table 13'!$C$16)</f>
        <v>7090.7325607515004</v>
      </c>
      <c r="AF4" s="164">
        <f>IF(AE4="","",$B4*'AEO 2018_Table 13'!AF$16/'AEO 2018_Table 13'!$C$16)</f>
        <v>7126.372715495022</v>
      </c>
      <c r="AG4" s="164">
        <f>IF(AF4="","",$B4*'AEO 2018_Table 13'!AG$16/'AEO 2018_Table 13'!$C$16)</f>
        <v>7177.4506982947441</v>
      </c>
      <c r="AH4" s="164">
        <f>IF(AG4="","",$B4*'AEO 2018_Table 13'!AH$16/'AEO 2018_Table 13'!$C$16)</f>
        <v>7231.6048686959148</v>
      </c>
      <c r="AI4" s="164">
        <f>IF(AH4="","",$B4*'AEO 2018_Table 13'!AI$16/'AEO 2018_Table 13'!$C$16)</f>
        <v>7287.3418199453245</v>
      </c>
      <c r="AJ4" s="164">
        <f>IF(AI4="","",$B4*'AEO 2018_Table 13'!AJ$16/'AEO 2018_Table 13'!$C$16)</f>
        <v>7321.7762837723085</v>
      </c>
      <c r="AK4" s="164">
        <f>IF(AJ4="","",$B4*'AEO 2018_Table 13'!AK$16/'AEO 2018_Table 13'!$C$16)</f>
        <v>7386.9389364549024</v>
      </c>
    </row>
    <row r="5" spans="1:37" x14ac:dyDescent="0.25">
      <c r="A5" s="181" t="s">
        <v>1170</v>
      </c>
      <c r="B5" s="182">
        <v>359.74335608174709</v>
      </c>
      <c r="C5" s="182">
        <f>IF(B5="","",$B5*'AEO 2018_Table 13'!C$16/'AEO 2018_Table 13'!$C$16)</f>
        <v>359.74335608174709</v>
      </c>
      <c r="D5" s="182">
        <f>IF(C5="","",$B5*'AEO 2018_Table 13'!D$16/'AEO 2018_Table 13'!$C$16)</f>
        <v>361.86798225681611</v>
      </c>
      <c r="E5" s="182">
        <f>IF(D5="","",$B5*'AEO 2018_Table 13'!E$16/'AEO 2018_Table 13'!$C$16)</f>
        <v>386.69406230958555</v>
      </c>
      <c r="F5" s="182">
        <f>IF(E5="","",$B5*'AEO 2018_Table 13'!F$16/'AEO 2018_Table 13'!$C$16)</f>
        <v>416.50463576597474</v>
      </c>
      <c r="G5" s="182">
        <f>IF(F5="","",$B5*'AEO 2018_Table 13'!G$16/'AEO 2018_Table 13'!$C$16)</f>
        <v>436.15187274854196</v>
      </c>
      <c r="H5" s="182">
        <f>IF(G5="","",$B5*'AEO 2018_Table 13'!H$16/'AEO 2018_Table 13'!$C$16)</f>
        <v>441.87043208054627</v>
      </c>
      <c r="I5" s="182">
        <f>IF(H5="","",$B5*'AEO 2018_Table 13'!I$16/'AEO 2018_Table 13'!$C$16)</f>
        <v>451.94560746471728</v>
      </c>
      <c r="J5" s="182">
        <f>IF(I5="","",$B5*'AEO 2018_Table 13'!J$16/'AEO 2018_Table 13'!$C$16)</f>
        <v>462.12985582378502</v>
      </c>
      <c r="K5" s="182">
        <f>IF(J5="","",$B5*'AEO 2018_Table 13'!K$16/'AEO 2018_Table 13'!$C$16)</f>
        <v>469.76401595425972</v>
      </c>
      <c r="L5" s="182">
        <f>IF(K5="","",$B5*'AEO 2018_Table 13'!L$16/'AEO 2018_Table 13'!$C$16)</f>
        <v>477.86287129205931</v>
      </c>
      <c r="M5" s="182">
        <f>IF(L5="","",$B5*'AEO 2018_Table 13'!M$16/'AEO 2018_Table 13'!$C$16)</f>
        <v>483.87697458591651</v>
      </c>
      <c r="N5" s="182">
        <f>IF(M5="","",$B5*'AEO 2018_Table 13'!N$16/'AEO 2018_Table 13'!$C$16)</f>
        <v>491.6568368747038</v>
      </c>
      <c r="O5" s="182">
        <f>IF(N5="","",$B5*'AEO 2018_Table 13'!O$16/'AEO 2018_Table 13'!$C$16)</f>
        <v>498.75078665668798</v>
      </c>
      <c r="P5" s="182">
        <f>IF(O5="","",$B5*'AEO 2018_Table 13'!P$16/'AEO 2018_Table 13'!$C$16)</f>
        <v>502.94021445644199</v>
      </c>
      <c r="Q5" s="182">
        <f>IF(P5="","",$B5*'AEO 2018_Table 13'!Q$16/'AEO 2018_Table 13'!$C$16)</f>
        <v>505.16130771900538</v>
      </c>
      <c r="R5" s="182">
        <f>IF(Q5="","",$B5*'AEO 2018_Table 13'!R$16/'AEO 2018_Table 13'!$C$16)</f>
        <v>507.50227709513973</v>
      </c>
      <c r="S5" s="182">
        <f>IF(R5="","",$B5*'AEO 2018_Table 13'!S$16/'AEO 2018_Table 13'!$C$16)</f>
        <v>509.00281836793192</v>
      </c>
      <c r="T5" s="182">
        <f>IF(S5="","",$B5*'AEO 2018_Table 13'!T$16/'AEO 2018_Table 13'!$C$16)</f>
        <v>510.7716754199356</v>
      </c>
      <c r="U5" s="182">
        <f>IF(T5="","",$B5*'AEO 2018_Table 13'!U$16/'AEO 2018_Table 13'!$C$16)</f>
        <v>514.73778939020906</v>
      </c>
      <c r="V5" s="182">
        <f>IF(U5="","",$B5*'AEO 2018_Table 13'!V$16/'AEO 2018_Table 13'!$C$16)</f>
        <v>517.0628011016762</v>
      </c>
      <c r="W5" s="182">
        <f>IF(V5="","",$B5*'AEO 2018_Table 13'!W$16/'AEO 2018_Table 13'!$C$16)</f>
        <v>521.02703220105582</v>
      </c>
      <c r="X5" s="182">
        <f>IF(W5="","",$B5*'AEO 2018_Table 13'!X$16/'AEO 2018_Table 13'!$C$16)</f>
        <v>525.81128695891448</v>
      </c>
      <c r="Y5" s="182">
        <f>IF(X5="","",$B5*'AEO 2018_Table 13'!Y$16/'AEO 2018_Table 13'!$C$16)</f>
        <v>528.40874074112628</v>
      </c>
      <c r="Z5" s="182">
        <f>IF(Y5="","",$B5*'AEO 2018_Table 13'!Z$16/'AEO 2018_Table 13'!$C$16)</f>
        <v>531.75286633912515</v>
      </c>
      <c r="AA5" s="182">
        <f>IF(Z5="","",$B5*'AEO 2018_Table 13'!AA$16/'AEO 2018_Table 13'!$C$16)</f>
        <v>536.21385486580118</v>
      </c>
      <c r="AB5" s="182">
        <f>IF(AA5="","",$B5*'AEO 2018_Table 13'!AB$16/'AEO 2018_Table 13'!$C$16)</f>
        <v>539.54204950652149</v>
      </c>
      <c r="AC5" s="182">
        <f>IF(AB5="","",$B5*'AEO 2018_Table 13'!AC$16/'AEO 2018_Table 13'!$C$16)</f>
        <v>543.73998360953317</v>
      </c>
      <c r="AD5" s="182">
        <f>IF(AC5="","",$B5*'AEO 2018_Table 13'!AD$16/'AEO 2018_Table 13'!$C$16)</f>
        <v>547.38862685194249</v>
      </c>
      <c r="AE5" s="182">
        <f>IF(AD5="","",$B5*'AEO 2018_Table 13'!AE$16/'AEO 2018_Table 13'!$C$16)</f>
        <v>550.91452293651025</v>
      </c>
      <c r="AF5" s="182">
        <f>IF(AE5="","",$B5*'AEO 2018_Table 13'!AF$16/'AEO 2018_Table 13'!$C$16)</f>
        <v>553.68358504394212</v>
      </c>
      <c r="AG5" s="182">
        <f>IF(AF5="","",$B5*'AEO 2018_Table 13'!AG$16/'AEO 2018_Table 13'!$C$16)</f>
        <v>557.65208932549206</v>
      </c>
      <c r="AH5" s="182">
        <f>IF(AG5="","",$B5*'AEO 2018_Table 13'!AH$16/'AEO 2018_Table 13'!$C$16)</f>
        <v>561.85959802730406</v>
      </c>
      <c r="AI5" s="182">
        <f>IF(AH5="","",$B5*'AEO 2018_Table 13'!AI$16/'AEO 2018_Table 13'!$C$16)</f>
        <v>566.19008089976057</v>
      </c>
      <c r="AJ5" s="182">
        <f>IF(AI5="","",$B5*'AEO 2018_Table 13'!AJ$16/'AEO 2018_Table 13'!$C$16)</f>
        <v>568.86546684180303</v>
      </c>
      <c r="AK5" s="182">
        <f>IF(AJ5="","",$B5*'AEO 2018_Table 13'!AK$16/'AEO 2018_Table 13'!$C$16)</f>
        <v>573.92827966238747</v>
      </c>
    </row>
    <row r="6" spans="1:37" x14ac:dyDescent="0.25">
      <c r="A6" s="181" t="s">
        <v>1171</v>
      </c>
      <c r="B6" s="182">
        <v>6.6877663997164287</v>
      </c>
      <c r="C6" s="182">
        <f>B6</f>
        <v>6.6877663997164287</v>
      </c>
      <c r="D6" s="182">
        <f t="shared" ref="D6:AK6" si="0">C6</f>
        <v>6.6877663997164287</v>
      </c>
      <c r="E6" s="182">
        <f t="shared" si="0"/>
        <v>6.6877663997164287</v>
      </c>
      <c r="F6" s="182">
        <f t="shared" si="0"/>
        <v>6.6877663997164287</v>
      </c>
      <c r="G6" s="182">
        <f t="shared" si="0"/>
        <v>6.6877663997164287</v>
      </c>
      <c r="H6" s="182">
        <f t="shared" si="0"/>
        <v>6.6877663997164287</v>
      </c>
      <c r="I6" s="182">
        <f t="shared" si="0"/>
        <v>6.6877663997164287</v>
      </c>
      <c r="J6" s="182">
        <f t="shared" si="0"/>
        <v>6.6877663997164287</v>
      </c>
      <c r="K6" s="182">
        <f t="shared" si="0"/>
        <v>6.6877663997164287</v>
      </c>
      <c r="L6" s="182">
        <f t="shared" si="0"/>
        <v>6.6877663997164287</v>
      </c>
      <c r="M6" s="182">
        <f t="shared" si="0"/>
        <v>6.6877663997164287</v>
      </c>
      <c r="N6" s="182">
        <f t="shared" si="0"/>
        <v>6.6877663997164287</v>
      </c>
      <c r="O6" s="182">
        <f t="shared" si="0"/>
        <v>6.6877663997164287</v>
      </c>
      <c r="P6" s="182">
        <f t="shared" si="0"/>
        <v>6.6877663997164287</v>
      </c>
      <c r="Q6" s="182">
        <f t="shared" si="0"/>
        <v>6.6877663997164287</v>
      </c>
      <c r="R6" s="182">
        <f t="shared" si="0"/>
        <v>6.6877663997164287</v>
      </c>
      <c r="S6" s="182">
        <f t="shared" si="0"/>
        <v>6.6877663997164287</v>
      </c>
      <c r="T6" s="182">
        <f t="shared" si="0"/>
        <v>6.6877663997164287</v>
      </c>
      <c r="U6" s="182">
        <f t="shared" si="0"/>
        <v>6.6877663997164287</v>
      </c>
      <c r="V6" s="182">
        <f t="shared" si="0"/>
        <v>6.6877663997164287</v>
      </c>
      <c r="W6" s="182">
        <f t="shared" si="0"/>
        <v>6.6877663997164287</v>
      </c>
      <c r="X6" s="182">
        <f t="shared" si="0"/>
        <v>6.6877663997164287</v>
      </c>
      <c r="Y6" s="182">
        <f t="shared" si="0"/>
        <v>6.6877663997164287</v>
      </c>
      <c r="Z6" s="182">
        <f t="shared" si="0"/>
        <v>6.6877663997164287</v>
      </c>
      <c r="AA6" s="182">
        <f t="shared" si="0"/>
        <v>6.6877663997164287</v>
      </c>
      <c r="AB6" s="182">
        <f t="shared" si="0"/>
        <v>6.6877663997164287</v>
      </c>
      <c r="AC6" s="182">
        <f t="shared" si="0"/>
        <v>6.6877663997164287</v>
      </c>
      <c r="AD6" s="182">
        <f t="shared" si="0"/>
        <v>6.6877663997164287</v>
      </c>
      <c r="AE6" s="182">
        <f t="shared" si="0"/>
        <v>6.6877663997164287</v>
      </c>
      <c r="AF6" s="182">
        <f t="shared" si="0"/>
        <v>6.6877663997164287</v>
      </c>
      <c r="AG6" s="182">
        <f t="shared" si="0"/>
        <v>6.6877663997164287</v>
      </c>
      <c r="AH6" s="182">
        <f t="shared" si="0"/>
        <v>6.6877663997164287</v>
      </c>
      <c r="AI6" s="182">
        <f t="shared" si="0"/>
        <v>6.6877663997164287</v>
      </c>
      <c r="AJ6" s="182">
        <f t="shared" si="0"/>
        <v>6.6877663997164287</v>
      </c>
      <c r="AK6" s="182">
        <f t="shared" si="0"/>
        <v>6.6877663997164287</v>
      </c>
    </row>
    <row r="7" spans="1:37" x14ac:dyDescent="0.25">
      <c r="A7" s="245" t="s">
        <v>1312</v>
      </c>
      <c r="B7" s="246">
        <v>0</v>
      </c>
      <c r="C7" s="246">
        <f>SUM(C8:C11)</f>
        <v>0</v>
      </c>
      <c r="D7" s="246">
        <f t="shared" ref="D7:AK7" si="1">SUM(D8:D11)</f>
        <v>12.232803855690781</v>
      </c>
      <c r="E7" s="246">
        <f t="shared" si="1"/>
        <v>142.93929508862394</v>
      </c>
      <c r="F7" s="246">
        <f t="shared" si="1"/>
        <v>171.63814613449483</v>
      </c>
      <c r="G7" s="246">
        <f t="shared" si="1"/>
        <v>113.12145126246043</v>
      </c>
      <c r="H7" s="246">
        <f t="shared" si="1"/>
        <v>32.925328449023326</v>
      </c>
      <c r="I7" s="246">
        <f t="shared" si="1"/>
        <v>58.009096250658246</v>
      </c>
      <c r="J7" s="246">
        <f t="shared" si="1"/>
        <v>58.637097695583755</v>
      </c>
      <c r="K7" s="246">
        <f t="shared" si="1"/>
        <v>43.954642268302713</v>
      </c>
      <c r="L7" s="246">
        <f t="shared" si="1"/>
        <v>46.63018368381838</v>
      </c>
      <c r="M7" s="246">
        <f t="shared" si="1"/>
        <v>34.626960180055242</v>
      </c>
      <c r="N7" s="246">
        <f t="shared" si="1"/>
        <v>44.793540868397571</v>
      </c>
      <c r="O7" s="246">
        <f t="shared" si="1"/>
        <v>40.844312878858432</v>
      </c>
      <c r="P7" s="246">
        <f t="shared" si="1"/>
        <v>24.121160297907124</v>
      </c>
      <c r="Q7" s="246">
        <f t="shared" si="1"/>
        <v>12.788225309918857</v>
      </c>
      <c r="R7" s="246">
        <f t="shared" si="1"/>
        <v>13.478427191785737</v>
      </c>
      <c r="S7" s="246">
        <f t="shared" si="1"/>
        <v>8.6395561171320967</v>
      </c>
      <c r="T7" s="246">
        <f t="shared" si="1"/>
        <v>10.184418143682535</v>
      </c>
      <c r="U7" s="246">
        <f t="shared" si="1"/>
        <v>22.835402687295094</v>
      </c>
      <c r="V7" s="246">
        <f t="shared" si="1"/>
        <v>13.386548919665614</v>
      </c>
      <c r="W7" s="246">
        <f t="shared" si="1"/>
        <v>22.824561820041087</v>
      </c>
      <c r="X7" s="246">
        <f t="shared" si="1"/>
        <v>27.545951723313429</v>
      </c>
      <c r="Y7" s="246">
        <f t="shared" si="1"/>
        <v>14.955168591475497</v>
      </c>
      <c r="Z7" s="246">
        <f t="shared" si="1"/>
        <v>19.254225985324769</v>
      </c>
      <c r="AA7" s="246">
        <f t="shared" si="1"/>
        <v>25.684705521215363</v>
      </c>
      <c r="AB7" s="246">
        <f t="shared" si="1"/>
        <v>19.16250148437031</v>
      </c>
      <c r="AC7" s="246">
        <f t="shared" si="1"/>
        <v>24.170136414511099</v>
      </c>
      <c r="AD7" s="246">
        <f t="shared" si="1"/>
        <v>21.007524828377406</v>
      </c>
      <c r="AE7" s="246">
        <f t="shared" si="1"/>
        <v>20.300792546088438</v>
      </c>
      <c r="AF7" s="246">
        <f t="shared" si="1"/>
        <v>15.94322522329797</v>
      </c>
      <c r="AG7" s="246">
        <f t="shared" si="1"/>
        <v>22.849165206718045</v>
      </c>
      <c r="AH7" s="246">
        <f t="shared" si="1"/>
        <v>24.225263377783094</v>
      </c>
      <c r="AI7" s="246">
        <f t="shared" si="1"/>
        <v>24.933302714990251</v>
      </c>
      <c r="AJ7" s="246">
        <f t="shared" si="1"/>
        <v>15.403872855993223</v>
      </c>
      <c r="AK7" s="246">
        <f t="shared" si="1"/>
        <v>29.149784992305396</v>
      </c>
    </row>
    <row r="8" spans="1:37" x14ac:dyDescent="0.25">
      <c r="A8" s="245" t="s">
        <v>1313</v>
      </c>
      <c r="B8" s="246">
        <v>0</v>
      </c>
      <c r="C8" s="246">
        <f>MAX(0,0.95*(SUM(C30:C33)-SUM(B30:B33)))</f>
        <v>0</v>
      </c>
      <c r="D8" s="246">
        <f t="shared" ref="D8:AK8" si="2">MAX(0,0.95*(SUM(D30:D33)-SUM(C30:C33)))</f>
        <v>0.14911457558216323</v>
      </c>
      <c r="E8" s="246">
        <f t="shared" si="2"/>
        <v>1.7423914069576349</v>
      </c>
      <c r="F8" s="246">
        <f t="shared" si="2"/>
        <v>2.0922226511993172</v>
      </c>
      <c r="G8" s="246">
        <f t="shared" si="2"/>
        <v>1.3789199429036121</v>
      </c>
      <c r="H8" s="246">
        <f t="shared" si="2"/>
        <v>0.4013508624431541</v>
      </c>
      <c r="I8" s="246">
        <f t="shared" si="2"/>
        <v>0.70711521817607015</v>
      </c>
      <c r="J8" s="246">
        <f t="shared" si="2"/>
        <v>0.71477038620047528</v>
      </c>
      <c r="K8" s="246">
        <f t="shared" si="2"/>
        <v>0.53579521947903319</v>
      </c>
      <c r="L8" s="246">
        <f t="shared" si="2"/>
        <v>0.56840934681513888</v>
      </c>
      <c r="M8" s="246">
        <f t="shared" si="2"/>
        <v>0.42209329372573484</v>
      </c>
      <c r="N8" s="246">
        <f t="shared" si="2"/>
        <v>0.54602116687305158</v>
      </c>
      <c r="O8" s="246">
        <f t="shared" si="2"/>
        <v>0.49788114415345425</v>
      </c>
      <c r="P8" s="246">
        <f t="shared" si="2"/>
        <v>0.29403043021068914</v>
      </c>
      <c r="Q8" s="246">
        <f t="shared" si="2"/>
        <v>0.15588501311991046</v>
      </c>
      <c r="R8" s="246">
        <f t="shared" si="2"/>
        <v>0.16429838767367391</v>
      </c>
      <c r="S8" s="246">
        <f t="shared" si="2"/>
        <v>0.1053138559909982</v>
      </c>
      <c r="T8" s="246">
        <f t="shared" si="2"/>
        <v>0.12414530691097808</v>
      </c>
      <c r="U8" s="246">
        <f t="shared" si="2"/>
        <v>0.27835739215092514</v>
      </c>
      <c r="V8" s="246">
        <f t="shared" si="2"/>
        <v>0.16317841634787555</v>
      </c>
      <c r="W8" s="246">
        <f t="shared" si="2"/>
        <v>0.27822524490662132</v>
      </c>
      <c r="X8" s="246">
        <f t="shared" si="2"/>
        <v>0.33577771283545804</v>
      </c>
      <c r="Y8" s="246">
        <f t="shared" si="2"/>
        <v>0.18229946654790616</v>
      </c>
      <c r="Z8" s="246">
        <f t="shared" si="2"/>
        <v>0.23470381523604258</v>
      </c>
      <c r="AA8" s="246">
        <f t="shared" si="2"/>
        <v>0.31308962425381848</v>
      </c>
      <c r="AB8" s="246">
        <f t="shared" si="2"/>
        <v>0.23358571833923775</v>
      </c>
      <c r="AC8" s="246">
        <f t="shared" si="2"/>
        <v>0.29462743584627976</v>
      </c>
      <c r="AD8" s="246">
        <f t="shared" si="2"/>
        <v>0.25607605466167166</v>
      </c>
      <c r="AE8" s="246">
        <f t="shared" si="2"/>
        <v>0.24746117899072217</v>
      </c>
      <c r="AF8" s="246">
        <f t="shared" si="2"/>
        <v>0.19434361006916667</v>
      </c>
      <c r="AG8" s="246">
        <f t="shared" si="2"/>
        <v>0.27852515354617358</v>
      </c>
      <c r="AH8" s="246">
        <f t="shared" si="2"/>
        <v>0.29529941864176018</v>
      </c>
      <c r="AI8" s="246">
        <f t="shared" si="2"/>
        <v>0.30393022695919852</v>
      </c>
      <c r="AJ8" s="246">
        <f t="shared" si="2"/>
        <v>0.18776905036162822</v>
      </c>
      <c r="AK8" s="246">
        <f t="shared" si="2"/>
        <v>0.35532800727585112</v>
      </c>
    </row>
    <row r="9" spans="1:37" ht="15" customHeight="1" x14ac:dyDescent="0.25">
      <c r="A9" s="247" t="s">
        <v>1314</v>
      </c>
      <c r="B9" s="246">
        <v>0</v>
      </c>
      <c r="C9" s="246">
        <f>MAX(0,0.77*(C39-B39))</f>
        <v>0</v>
      </c>
      <c r="D9" s="246">
        <f t="shared" ref="D9:AK9" si="3">MAX(0,0.77*(D39-C39))</f>
        <v>4.6396536430824691</v>
      </c>
      <c r="E9" s="246">
        <f t="shared" si="3"/>
        <v>54.213966725957782</v>
      </c>
      <c r="F9" s="246">
        <f t="shared" si="3"/>
        <v>65.098857089446668</v>
      </c>
      <c r="G9" s="246">
        <f t="shared" si="3"/>
        <v>42.904665165255601</v>
      </c>
      <c r="H9" s="246">
        <f t="shared" si="3"/>
        <v>12.48790726070014</v>
      </c>
      <c r="I9" s="246">
        <f t="shared" si="3"/>
        <v>22.001670093491015</v>
      </c>
      <c r="J9" s="246">
        <f t="shared" si="3"/>
        <v>22.239858265735322</v>
      </c>
      <c r="K9" s="246">
        <f t="shared" si="3"/>
        <v>16.671101616302717</v>
      </c>
      <c r="L9" s="246">
        <f t="shared" si="3"/>
        <v>17.68588004503895</v>
      </c>
      <c r="M9" s="246">
        <f t="shared" si="3"/>
        <v>13.13330155894942</v>
      </c>
      <c r="N9" s="246">
        <f t="shared" si="3"/>
        <v>16.9892787890935</v>
      </c>
      <c r="O9" s="246">
        <f t="shared" si="3"/>
        <v>15.491416954212285</v>
      </c>
      <c r="P9" s="246">
        <f t="shared" si="3"/>
        <v>9.148665389537662</v>
      </c>
      <c r="Q9" s="246">
        <f t="shared" si="3"/>
        <v>4.8503137013943887</v>
      </c>
      <c r="R9" s="246">
        <f t="shared" si="3"/>
        <v>5.1120932339890146</v>
      </c>
      <c r="S9" s="246">
        <f t="shared" si="3"/>
        <v>3.2768078754748582</v>
      </c>
      <c r="T9" s="246">
        <f t="shared" si="3"/>
        <v>3.8627426140762622</v>
      </c>
      <c r="U9" s="246">
        <f t="shared" si="3"/>
        <v>8.6610036847831768</v>
      </c>
      <c r="V9" s="246">
        <f t="shared" si="3"/>
        <v>5.0772456745095136</v>
      </c>
      <c r="W9" s="246">
        <f t="shared" si="3"/>
        <v>8.6568919643758413</v>
      </c>
      <c r="X9" s="246">
        <f t="shared" si="3"/>
        <v>10.447619104576127</v>
      </c>
      <c r="Y9" s="246">
        <f t="shared" si="3"/>
        <v>5.6721912046414262</v>
      </c>
      <c r="Z9" s="246">
        <f t="shared" si="3"/>
        <v>7.3027362157851554</v>
      </c>
      <c r="AA9" s="246">
        <f t="shared" si="3"/>
        <v>9.7416862845856222</v>
      </c>
      <c r="AB9" s="246">
        <f t="shared" si="3"/>
        <v>7.2679469785802464</v>
      </c>
      <c r="AC9" s="246">
        <f t="shared" si="3"/>
        <v>9.1672410342147472</v>
      </c>
      <c r="AD9" s="246">
        <f t="shared" si="3"/>
        <v>7.9677267985283518</v>
      </c>
      <c r="AE9" s="246">
        <f t="shared" si="3"/>
        <v>7.6996776213414408</v>
      </c>
      <c r="AF9" s="246">
        <f t="shared" si="3"/>
        <v>6.0469409844538902</v>
      </c>
      <c r="AG9" s="246">
        <f t="shared" si="3"/>
        <v>8.6662235284208968</v>
      </c>
      <c r="AH9" s="246">
        <f t="shared" si="3"/>
        <v>9.1881495699023077</v>
      </c>
      <c r="AI9" s="246">
        <f t="shared" si="3"/>
        <v>9.456694486429468</v>
      </c>
      <c r="AJ9" s="246">
        <f t="shared" si="3"/>
        <v>5.8423756039089909</v>
      </c>
      <c r="AK9" s="246">
        <f t="shared" si="3"/>
        <v>11.055920435747581</v>
      </c>
    </row>
    <row r="10" spans="1:37" ht="15" customHeight="1" x14ac:dyDescent="0.25">
      <c r="A10" s="247" t="s">
        <v>1315</v>
      </c>
      <c r="B10" s="246">
        <v>0</v>
      </c>
      <c r="C10" s="246">
        <f>MAX(0,0.703*(SUM(C47:C52)-SUM(B47:B52)))</f>
        <v>0</v>
      </c>
      <c r="D10" s="246">
        <f t="shared" ref="D10:AK10" si="4">MAX(0,0.703*(SUM(D47:D52)-SUM(C47:C52)))</f>
        <v>9.7592679816230266E-2</v>
      </c>
      <c r="E10" s="246">
        <f t="shared" si="4"/>
        <v>1.140362342379299</v>
      </c>
      <c r="F10" s="246">
        <f t="shared" si="4"/>
        <v>1.3693202995454696</v>
      </c>
      <c r="G10" s="246">
        <f t="shared" si="4"/>
        <v>0.90247711838108557</v>
      </c>
      <c r="H10" s="246">
        <f t="shared" si="4"/>
        <v>0.26267657644775971</v>
      </c>
      <c r="I10" s="246">
        <f t="shared" si="4"/>
        <v>0.46279358547761518</v>
      </c>
      <c r="J10" s="246">
        <f t="shared" si="4"/>
        <v>0.46780374869626024</v>
      </c>
      <c r="K10" s="246">
        <f t="shared" si="4"/>
        <v>0.35066787466979021</v>
      </c>
      <c r="L10" s="246">
        <f t="shared" si="4"/>
        <v>0.37201320643345193</v>
      </c>
      <c r="M10" s="246">
        <f t="shared" si="4"/>
        <v>0.27625210685361212</v>
      </c>
      <c r="N10" s="246">
        <f t="shared" si="4"/>
        <v>0.35736056454229331</v>
      </c>
      <c r="O10" s="246">
        <f t="shared" si="4"/>
        <v>0.32585382681879183</v>
      </c>
      <c r="P10" s="246">
        <f t="shared" si="4"/>
        <v>0.19243737588864654</v>
      </c>
      <c r="Q10" s="246">
        <f t="shared" si="4"/>
        <v>0.10202380360314306</v>
      </c>
      <c r="R10" s="246">
        <f t="shared" si="4"/>
        <v>0.10753019870766467</v>
      </c>
      <c r="S10" s="246">
        <f t="shared" si="4"/>
        <v>6.8925934220825616E-2</v>
      </c>
      <c r="T10" s="246">
        <f t="shared" si="4"/>
        <v>8.1250763989704794E-2</v>
      </c>
      <c r="U10" s="246">
        <f t="shared" si="4"/>
        <v>0.18217966781991587</v>
      </c>
      <c r="V10" s="246">
        <f t="shared" si="4"/>
        <v>0.10679719857957599</v>
      </c>
      <c r="W10" s="246">
        <f t="shared" si="4"/>
        <v>0.18209317993869775</v>
      </c>
      <c r="X10" s="246">
        <f t="shared" si="4"/>
        <v>0.219760185684341</v>
      </c>
      <c r="Y10" s="246">
        <f t="shared" si="4"/>
        <v>0.11931156562006306</v>
      </c>
      <c r="Z10" s="246">
        <f t="shared" si="4"/>
        <v>0.15360922433339966</v>
      </c>
      <c r="AA10" s="246">
        <f t="shared" si="4"/>
        <v>0.20491125924004566</v>
      </c>
      <c r="AB10" s="246">
        <f t="shared" si="4"/>
        <v>0.1528774509837626</v>
      </c>
      <c r="AC10" s="246">
        <f t="shared" si="4"/>
        <v>0.19282810482722257</v>
      </c>
      <c r="AD10" s="246">
        <f t="shared" si="4"/>
        <v>0.1675969523008087</v>
      </c>
      <c r="AE10" s="246">
        <f t="shared" si="4"/>
        <v>0.16195867851216461</v>
      </c>
      <c r="AF10" s="246">
        <f t="shared" si="4"/>
        <v>0.1271942305959225</v>
      </c>
      <c r="AG10" s="246">
        <f t="shared" si="4"/>
        <v>0.18228946449182448</v>
      </c>
      <c r="AH10" s="246">
        <f t="shared" si="4"/>
        <v>0.19326790490407775</v>
      </c>
      <c r="AI10" s="246">
        <f t="shared" si="4"/>
        <v>0.19891660630962049</v>
      </c>
      <c r="AJ10" s="246">
        <f t="shared" si="4"/>
        <v>0.12289130515777487</v>
      </c>
      <c r="AK10" s="246">
        <f t="shared" si="4"/>
        <v>0.2325554849915005</v>
      </c>
    </row>
    <row r="11" spans="1:37" ht="15" customHeight="1" x14ac:dyDescent="0.25">
      <c r="A11" s="247" t="s">
        <v>1316</v>
      </c>
      <c r="B11" s="246">
        <v>0</v>
      </c>
      <c r="C11" s="246">
        <f>MAX(0,0.632*(C24-B24))</f>
        <v>0</v>
      </c>
      <c r="D11" s="246">
        <f t="shared" ref="D11:AK11" si="5">MAX(0,0.632*(D24-C24))</f>
        <v>7.3464429572099181</v>
      </c>
      <c r="E11" s="246">
        <f t="shared" si="5"/>
        <v>85.842574613329219</v>
      </c>
      <c r="F11" s="246">
        <f t="shared" si="5"/>
        <v>103.07774609430336</v>
      </c>
      <c r="G11" s="246">
        <f t="shared" si="5"/>
        <v>67.935389035920124</v>
      </c>
      <c r="H11" s="246">
        <f t="shared" si="5"/>
        <v>19.77339374943227</v>
      </c>
      <c r="I11" s="246">
        <f t="shared" si="5"/>
        <v>34.83751735351354</v>
      </c>
      <c r="J11" s="246">
        <f t="shared" si="5"/>
        <v>35.214665294951701</v>
      </c>
      <c r="K11" s="246">
        <f t="shared" si="5"/>
        <v>26.397077557851173</v>
      </c>
      <c r="L11" s="246">
        <f t="shared" si="5"/>
        <v>28.003881085530843</v>
      </c>
      <c r="M11" s="246">
        <f t="shared" si="5"/>
        <v>20.795313220526477</v>
      </c>
      <c r="N11" s="246">
        <f t="shared" si="5"/>
        <v>26.90088034788873</v>
      </c>
      <c r="O11" s="246">
        <f t="shared" si="5"/>
        <v>24.529160953673895</v>
      </c>
      <c r="P11" s="246">
        <f t="shared" si="5"/>
        <v>14.486027102270127</v>
      </c>
      <c r="Q11" s="246">
        <f t="shared" si="5"/>
        <v>7.6800027918014164</v>
      </c>
      <c r="R11" s="246">
        <f t="shared" si="5"/>
        <v>8.0945053714153836</v>
      </c>
      <c r="S11" s="246">
        <f t="shared" si="5"/>
        <v>5.1885084514454141</v>
      </c>
      <c r="T11" s="246">
        <f t="shared" si="5"/>
        <v>6.1162794587055904</v>
      </c>
      <c r="U11" s="246">
        <f t="shared" si="5"/>
        <v>13.713861942541076</v>
      </c>
      <c r="V11" s="246">
        <f t="shared" si="5"/>
        <v>8.0393276302286498</v>
      </c>
      <c r="W11" s="246">
        <f t="shared" si="5"/>
        <v>13.707351430819926</v>
      </c>
      <c r="X11" s="246">
        <f t="shared" si="5"/>
        <v>16.542794720217501</v>
      </c>
      <c r="Y11" s="246">
        <f t="shared" si="5"/>
        <v>8.9813663546661004</v>
      </c>
      <c r="Z11" s="246">
        <f t="shared" si="5"/>
        <v>11.563176729970172</v>
      </c>
      <c r="AA11" s="246">
        <f t="shared" si="5"/>
        <v>15.425018353135878</v>
      </c>
      <c r="AB11" s="246">
        <f t="shared" si="5"/>
        <v>11.508091336467063</v>
      </c>
      <c r="AC11" s="246">
        <f t="shared" si="5"/>
        <v>14.51543983962285</v>
      </c>
      <c r="AD11" s="246">
        <f t="shared" si="5"/>
        <v>12.616125022886576</v>
      </c>
      <c r="AE11" s="246">
        <f t="shared" si="5"/>
        <v>12.191695067244108</v>
      </c>
      <c r="AF11" s="246">
        <f t="shared" si="5"/>
        <v>9.5747463981789913</v>
      </c>
      <c r="AG11" s="246">
        <f t="shared" si="5"/>
        <v>13.722127060259151</v>
      </c>
      <c r="AH11" s="246">
        <f t="shared" si="5"/>
        <v>14.548546484334947</v>
      </c>
      <c r="AI11" s="246">
        <f t="shared" si="5"/>
        <v>14.973761395291964</v>
      </c>
      <c r="AJ11" s="246">
        <f t="shared" si="5"/>
        <v>9.2508368965648291</v>
      </c>
      <c r="AK11" s="246">
        <f t="shared" si="5"/>
        <v>17.505981064290463</v>
      </c>
    </row>
    <row r="12" spans="1:37" x14ac:dyDescent="0.25">
      <c r="A12" s="248" t="s">
        <v>1172</v>
      </c>
      <c r="B12" s="249">
        <f>B4-SUM(B5:B7)</f>
        <v>4263.7679778912016</v>
      </c>
      <c r="C12" s="249">
        <f t="shared" ref="C12" si="6">C4-SUM(C5:C7)</f>
        <v>4263.7679778912016</v>
      </c>
      <c r="D12" s="249">
        <f t="shared" ref="D12:AK12" si="7">D4-SUM(D5:D7)</f>
        <v>4276.7562709658805</v>
      </c>
      <c r="E12" s="249">
        <f t="shared" si="7"/>
        <v>4440.7561985652783</v>
      </c>
      <c r="F12" s="249">
        <f t="shared" si="7"/>
        <v>4765.9338889627888</v>
      </c>
      <c r="G12" s="249">
        <f t="shared" si="7"/>
        <v>5057.6797863015481</v>
      </c>
      <c r="H12" s="249">
        <f t="shared" si="7"/>
        <v>5205.7600107545913</v>
      </c>
      <c r="I12" s="249">
        <f t="shared" si="7"/>
        <v>5300.277035758967</v>
      </c>
      <c r="J12" s="249">
        <f t="shared" si="7"/>
        <v>5420.5446149300815</v>
      </c>
      <c r="K12" s="249">
        <f t="shared" si="7"/>
        <v>5525.8509621704316</v>
      </c>
      <c r="L12" s="249">
        <f t="shared" si="7"/>
        <v>5619.315634923676</v>
      </c>
      <c r="M12" s="249">
        <f t="shared" si="7"/>
        <v>5702.7113150880568</v>
      </c>
      <c r="N12" s="249">
        <f t="shared" si="7"/>
        <v>5784.8982331906536</v>
      </c>
      <c r="O12" s="249">
        <f t="shared" si="7"/>
        <v>5873.0586024953409</v>
      </c>
      <c r="P12" s="249">
        <f t="shared" si="7"/>
        <v>5939.5137812841249</v>
      </c>
      <c r="Q12" s="249">
        <f t="shared" si="7"/>
        <v>5977.2129585427956</v>
      </c>
      <c r="R12" s="249">
        <f t="shared" si="7"/>
        <v>6004.3120290700363</v>
      </c>
      <c r="S12" s="249">
        <f t="shared" si="7"/>
        <v>6026.9635851869816</v>
      </c>
      <c r="T12" s="249">
        <f t="shared" si="7"/>
        <v>6046.4165418299217</v>
      </c>
      <c r="U12" s="249">
        <f t="shared" si="7"/>
        <v>6080.8466608022773</v>
      </c>
      <c r="V12" s="249">
        <f t="shared" si="7"/>
        <v>6117.8953560983837</v>
      </c>
      <c r="W12" s="249">
        <f t="shared" si="7"/>
        <v>6155.5160954552593</v>
      </c>
      <c r="X12" s="249">
        <f t="shared" si="7"/>
        <v>6207.5878272801483</v>
      </c>
      <c r="Y12" s="249">
        <f t="shared" si="7"/>
        <v>6251.0125681133641</v>
      </c>
      <c r="Z12" s="249">
        <f t="shared" si="7"/>
        <v>6286.411089919171</v>
      </c>
      <c r="AA12" s="249">
        <f t="shared" si="7"/>
        <v>6332.9362904727004</v>
      </c>
      <c r="AB12" s="249">
        <f t="shared" si="7"/>
        <v>6378.966959867701</v>
      </c>
      <c r="AC12" s="249">
        <f t="shared" si="7"/>
        <v>6423.7923281085423</v>
      </c>
      <c r="AD12" s="249">
        <f t="shared" si="7"/>
        <v>6470.2673990632766</v>
      </c>
      <c r="AE12" s="249">
        <f t="shared" si="7"/>
        <v>6512.8294788691856</v>
      </c>
      <c r="AF12" s="249">
        <f t="shared" si="7"/>
        <v>6550.0581388280652</v>
      </c>
      <c r="AG12" s="249">
        <f t="shared" si="7"/>
        <v>6590.2616773628179</v>
      </c>
      <c r="AH12" s="249">
        <f t="shared" si="7"/>
        <v>6638.8322408911108</v>
      </c>
      <c r="AI12" s="249">
        <f t="shared" si="7"/>
        <v>6689.5306699308567</v>
      </c>
      <c r="AJ12" s="249">
        <f t="shared" si="7"/>
        <v>6730.8191776747954</v>
      </c>
      <c r="AK12" s="249">
        <f t="shared" si="7"/>
        <v>6777.1731054004931</v>
      </c>
    </row>
    <row r="13" spans="1:37" x14ac:dyDescent="0.25">
      <c r="A13" s="186" t="s">
        <v>1173</v>
      </c>
      <c r="B13" s="188"/>
      <c r="C13" s="188" t="str">
        <f>IF(B13="","",$B13*'AEO 2018_Table 13'!C$16/'AEO 2018_Table 13'!$C$16)</f>
        <v/>
      </c>
      <c r="D13" s="188" t="str">
        <f>IF(C13="","",$B13*'AEO 2018_Table 13'!D$16/'AEO 2018_Table 13'!$C$16)</f>
        <v/>
      </c>
      <c r="E13" s="188" t="str">
        <f>IF(D13="","",$B13*'AEO 2018_Table 13'!E$16/'AEO 2018_Table 13'!$C$16)</f>
        <v/>
      </c>
      <c r="F13" s="188" t="str">
        <f>IF(E13="","",$B13*'AEO 2018_Table 13'!F$16/'AEO 2018_Table 13'!$C$16)</f>
        <v/>
      </c>
      <c r="G13" s="188" t="str">
        <f>IF(F13="","",$B13*'AEO 2018_Table 13'!G$16/'AEO 2018_Table 13'!$C$16)</f>
        <v/>
      </c>
      <c r="H13" s="188" t="str">
        <f>IF(G13="","",$B13*'AEO 2018_Table 13'!H$16/'AEO 2018_Table 13'!$C$16)</f>
        <v/>
      </c>
      <c r="I13" s="188" t="str">
        <f>IF(H13="","",$B13*'AEO 2018_Table 13'!I$16/'AEO 2018_Table 13'!$C$16)</f>
        <v/>
      </c>
      <c r="J13" s="188" t="str">
        <f>IF(I13="","",$B13*'AEO 2018_Table 13'!J$16/'AEO 2018_Table 13'!$C$16)</f>
        <v/>
      </c>
      <c r="K13" s="188" t="str">
        <f>IF(J13="","",$B13*'AEO 2018_Table 13'!K$16/'AEO 2018_Table 13'!$C$16)</f>
        <v/>
      </c>
      <c r="L13" s="188" t="str">
        <f>IF(K13="","",$B13*'AEO 2018_Table 13'!L$16/'AEO 2018_Table 13'!$C$16)</f>
        <v/>
      </c>
      <c r="M13" s="188" t="str">
        <f>IF(L13="","",$B13*'AEO 2018_Table 13'!M$16/'AEO 2018_Table 13'!$C$16)</f>
        <v/>
      </c>
      <c r="N13" s="188" t="str">
        <f>IF(M13="","",$B13*'AEO 2018_Table 13'!N$16/'AEO 2018_Table 13'!$C$16)</f>
        <v/>
      </c>
      <c r="O13" s="188" t="str">
        <f>IF(N13="","",$B13*'AEO 2018_Table 13'!O$16/'AEO 2018_Table 13'!$C$16)</f>
        <v/>
      </c>
      <c r="P13" s="188" t="str">
        <f>IF(O13="","",$B13*'AEO 2018_Table 13'!P$16/'AEO 2018_Table 13'!$C$16)</f>
        <v/>
      </c>
      <c r="Q13" s="188" t="str">
        <f>IF(P13="","",$B13*'AEO 2018_Table 13'!Q$16/'AEO 2018_Table 13'!$C$16)</f>
        <v/>
      </c>
      <c r="R13" s="188" t="str">
        <f>IF(Q13="","",$B13*'AEO 2018_Table 13'!R$16/'AEO 2018_Table 13'!$C$16)</f>
        <v/>
      </c>
      <c r="S13" s="188" t="str">
        <f>IF(R13="","",$B13*'AEO 2018_Table 13'!S$16/'AEO 2018_Table 13'!$C$16)</f>
        <v/>
      </c>
      <c r="T13" s="188" t="str">
        <f>IF(S13="","",$B13*'AEO 2018_Table 13'!T$16/'AEO 2018_Table 13'!$C$16)</f>
        <v/>
      </c>
      <c r="U13" s="188" t="str">
        <f>IF(T13="","",$B13*'AEO 2018_Table 13'!U$16/'AEO 2018_Table 13'!$C$16)</f>
        <v/>
      </c>
      <c r="V13" s="188" t="str">
        <f>IF(U13="","",$B13*'AEO 2018_Table 13'!V$16/'AEO 2018_Table 13'!$C$16)</f>
        <v/>
      </c>
      <c r="W13" s="188" t="str">
        <f>IF(V13="","",$B13*'AEO 2018_Table 13'!W$16/'AEO 2018_Table 13'!$C$16)</f>
        <v/>
      </c>
      <c r="X13" s="188" t="str">
        <f>IF(W13="","",$B13*'AEO 2018_Table 13'!X$16/'AEO 2018_Table 13'!$C$16)</f>
        <v/>
      </c>
      <c r="Y13" s="188" t="str">
        <f>IF(X13="","",$B13*'AEO 2018_Table 13'!Y$16/'AEO 2018_Table 13'!$C$16)</f>
        <v/>
      </c>
      <c r="Z13" s="188" t="str">
        <f>IF(Y13="","",$B13*'AEO 2018_Table 13'!Z$16/'AEO 2018_Table 13'!$C$16)</f>
        <v/>
      </c>
      <c r="AA13" s="188" t="str">
        <f>IF(Z13="","",$B13*'AEO 2018_Table 13'!AA$16/'AEO 2018_Table 13'!$C$16)</f>
        <v/>
      </c>
      <c r="AB13" s="188" t="str">
        <f>IF(AA13="","",$B13*'AEO 2018_Table 13'!AB$16/'AEO 2018_Table 13'!$C$16)</f>
        <v/>
      </c>
      <c r="AC13" s="188" t="str">
        <f>IF(AB13="","",$B13*'AEO 2018_Table 13'!AC$16/'AEO 2018_Table 13'!$C$16)</f>
        <v/>
      </c>
      <c r="AD13" s="188" t="str">
        <f>IF(AC13="","",$B13*'AEO 2018_Table 13'!AD$16/'AEO 2018_Table 13'!$C$16)</f>
        <v/>
      </c>
      <c r="AE13" s="188" t="str">
        <f>IF(AD13="","",$B13*'AEO 2018_Table 13'!AE$16/'AEO 2018_Table 13'!$C$16)</f>
        <v/>
      </c>
      <c r="AF13" s="188" t="str">
        <f>IF(AE13="","",$B13*'AEO 2018_Table 13'!AF$16/'AEO 2018_Table 13'!$C$16)</f>
        <v/>
      </c>
      <c r="AG13" s="188" t="str">
        <f>IF(AF13="","",$B13*'AEO 2018_Table 13'!AG$16/'AEO 2018_Table 13'!$C$16)</f>
        <v/>
      </c>
      <c r="AH13" s="188" t="str">
        <f>IF(AG13="","",$B13*'AEO 2018_Table 13'!AH$16/'AEO 2018_Table 13'!$C$16)</f>
        <v/>
      </c>
      <c r="AI13" s="188" t="str">
        <f>IF(AH13="","",$B13*'AEO 2018_Table 13'!AI$16/'AEO 2018_Table 13'!$C$16)</f>
        <v/>
      </c>
      <c r="AJ13" s="188" t="str">
        <f>IF(AI13="","",$B13*'AEO 2018_Table 13'!AJ$16/'AEO 2018_Table 13'!$C$16)</f>
        <v/>
      </c>
      <c r="AK13" s="188" t="str">
        <f>IF(AJ13="","",$B13*'AEO 2018_Table 13'!AK$16/'AEO 2018_Table 13'!$C$16)</f>
        <v/>
      </c>
    </row>
    <row r="14" spans="1:37" x14ac:dyDescent="0.25">
      <c r="A14" s="189" t="s">
        <v>1174</v>
      </c>
      <c r="B14" s="191"/>
      <c r="C14" s="191" t="str">
        <f>IF(B14="","",$B14*'AEO 2018_Table 13'!C$16/'AEO 2018_Table 13'!$C$16)</f>
        <v/>
      </c>
      <c r="D14" s="191" t="str">
        <f>IF(C14="","",$B14*'AEO 2018_Table 13'!D$16/'AEO 2018_Table 13'!$C$16)</f>
        <v/>
      </c>
      <c r="E14" s="191" t="str">
        <f>IF(D14="","",$B14*'AEO 2018_Table 13'!E$16/'AEO 2018_Table 13'!$C$16)</f>
        <v/>
      </c>
      <c r="F14" s="191" t="str">
        <f>IF(E14="","",$B14*'AEO 2018_Table 13'!F$16/'AEO 2018_Table 13'!$C$16)</f>
        <v/>
      </c>
      <c r="G14" s="191" t="str">
        <f>IF(F14="","",$B14*'AEO 2018_Table 13'!G$16/'AEO 2018_Table 13'!$C$16)</f>
        <v/>
      </c>
      <c r="H14" s="191" t="str">
        <f>IF(G14="","",$B14*'AEO 2018_Table 13'!H$16/'AEO 2018_Table 13'!$C$16)</f>
        <v/>
      </c>
      <c r="I14" s="191" t="str">
        <f>IF(H14="","",$B14*'AEO 2018_Table 13'!I$16/'AEO 2018_Table 13'!$C$16)</f>
        <v/>
      </c>
      <c r="J14" s="191" t="str">
        <f>IF(I14="","",$B14*'AEO 2018_Table 13'!J$16/'AEO 2018_Table 13'!$C$16)</f>
        <v/>
      </c>
      <c r="K14" s="191" t="str">
        <f>IF(J14="","",$B14*'AEO 2018_Table 13'!K$16/'AEO 2018_Table 13'!$C$16)</f>
        <v/>
      </c>
      <c r="L14" s="191" t="str">
        <f>IF(K14="","",$B14*'AEO 2018_Table 13'!L$16/'AEO 2018_Table 13'!$C$16)</f>
        <v/>
      </c>
      <c r="M14" s="191" t="str">
        <f>IF(L14="","",$B14*'AEO 2018_Table 13'!M$16/'AEO 2018_Table 13'!$C$16)</f>
        <v/>
      </c>
      <c r="N14" s="191" t="str">
        <f>IF(M14="","",$B14*'AEO 2018_Table 13'!N$16/'AEO 2018_Table 13'!$C$16)</f>
        <v/>
      </c>
      <c r="O14" s="191" t="str">
        <f>IF(N14="","",$B14*'AEO 2018_Table 13'!O$16/'AEO 2018_Table 13'!$C$16)</f>
        <v/>
      </c>
      <c r="P14" s="191" t="str">
        <f>IF(O14="","",$B14*'AEO 2018_Table 13'!P$16/'AEO 2018_Table 13'!$C$16)</f>
        <v/>
      </c>
      <c r="Q14" s="191" t="str">
        <f>IF(P14="","",$B14*'AEO 2018_Table 13'!Q$16/'AEO 2018_Table 13'!$C$16)</f>
        <v/>
      </c>
      <c r="R14" s="191" t="str">
        <f>IF(Q14="","",$B14*'AEO 2018_Table 13'!R$16/'AEO 2018_Table 13'!$C$16)</f>
        <v/>
      </c>
      <c r="S14" s="191" t="str">
        <f>IF(R14="","",$B14*'AEO 2018_Table 13'!S$16/'AEO 2018_Table 13'!$C$16)</f>
        <v/>
      </c>
      <c r="T14" s="191" t="str">
        <f>IF(S14="","",$B14*'AEO 2018_Table 13'!T$16/'AEO 2018_Table 13'!$C$16)</f>
        <v/>
      </c>
      <c r="U14" s="191" t="str">
        <f>IF(T14="","",$B14*'AEO 2018_Table 13'!U$16/'AEO 2018_Table 13'!$C$16)</f>
        <v/>
      </c>
      <c r="V14" s="191" t="str">
        <f>IF(U14="","",$B14*'AEO 2018_Table 13'!V$16/'AEO 2018_Table 13'!$C$16)</f>
        <v/>
      </c>
      <c r="W14" s="191" t="str">
        <f>IF(V14="","",$B14*'AEO 2018_Table 13'!W$16/'AEO 2018_Table 13'!$C$16)</f>
        <v/>
      </c>
      <c r="X14" s="191" t="str">
        <f>IF(W14="","",$B14*'AEO 2018_Table 13'!X$16/'AEO 2018_Table 13'!$C$16)</f>
        <v/>
      </c>
      <c r="Y14" s="191" t="str">
        <f>IF(X14="","",$B14*'AEO 2018_Table 13'!Y$16/'AEO 2018_Table 13'!$C$16)</f>
        <v/>
      </c>
      <c r="Z14" s="191" t="str">
        <f>IF(Y14="","",$B14*'AEO 2018_Table 13'!Z$16/'AEO 2018_Table 13'!$C$16)</f>
        <v/>
      </c>
      <c r="AA14" s="191" t="str">
        <f>IF(Z14="","",$B14*'AEO 2018_Table 13'!AA$16/'AEO 2018_Table 13'!$C$16)</f>
        <v/>
      </c>
      <c r="AB14" s="191" t="str">
        <f>IF(AA14="","",$B14*'AEO 2018_Table 13'!AB$16/'AEO 2018_Table 13'!$C$16)</f>
        <v/>
      </c>
      <c r="AC14" s="191" t="str">
        <f>IF(AB14="","",$B14*'AEO 2018_Table 13'!AC$16/'AEO 2018_Table 13'!$C$16)</f>
        <v/>
      </c>
      <c r="AD14" s="191" t="str">
        <f>IF(AC14="","",$B14*'AEO 2018_Table 13'!AD$16/'AEO 2018_Table 13'!$C$16)</f>
        <v/>
      </c>
      <c r="AE14" s="191" t="str">
        <f>IF(AD14="","",$B14*'AEO 2018_Table 13'!AE$16/'AEO 2018_Table 13'!$C$16)</f>
        <v/>
      </c>
      <c r="AF14" s="191" t="str">
        <f>IF(AE14="","",$B14*'AEO 2018_Table 13'!AF$16/'AEO 2018_Table 13'!$C$16)</f>
        <v/>
      </c>
      <c r="AG14" s="191" t="str">
        <f>IF(AF14="","",$B14*'AEO 2018_Table 13'!AG$16/'AEO 2018_Table 13'!$C$16)</f>
        <v/>
      </c>
      <c r="AH14" s="191" t="str">
        <f>IF(AG14="","",$B14*'AEO 2018_Table 13'!AH$16/'AEO 2018_Table 13'!$C$16)</f>
        <v/>
      </c>
      <c r="AI14" s="191" t="str">
        <f>IF(AH14="","",$B14*'AEO 2018_Table 13'!AI$16/'AEO 2018_Table 13'!$C$16)</f>
        <v/>
      </c>
      <c r="AJ14" s="191" t="str">
        <f>IF(AI14="","",$B14*'AEO 2018_Table 13'!AJ$16/'AEO 2018_Table 13'!$C$16)</f>
        <v/>
      </c>
      <c r="AK14" s="191" t="str">
        <f>IF(AJ14="","",$B14*'AEO 2018_Table 13'!AK$16/'AEO 2018_Table 13'!$C$16)</f>
        <v/>
      </c>
    </row>
    <row r="15" spans="1:37" x14ac:dyDescent="0.25">
      <c r="A15" s="192" t="s">
        <v>1175</v>
      </c>
      <c r="B15" s="193">
        <v>15.955358250925736</v>
      </c>
      <c r="C15" s="193">
        <f>IF(B15="","",$B15*'AEO 2018_Table 13'!C$16/'AEO 2018_Table 13'!$C$16)</f>
        <v>15.955358250925736</v>
      </c>
      <c r="D15" s="193">
        <f>IF(C15="","",$B15*'AEO 2018_Table 13'!D$16/'AEO 2018_Table 13'!$C$16)</f>
        <v>16.049589794606607</v>
      </c>
      <c r="E15" s="193">
        <f>IF(D15="","",$B15*'AEO 2018_Table 13'!E$16/'AEO 2018_Table 13'!$C$16)</f>
        <v>17.150677540944546</v>
      </c>
      <c r="F15" s="193">
        <f>IF(E15="","",$B15*'AEO 2018_Table 13'!F$16/'AEO 2018_Table 13'!$C$16)</f>
        <v>18.472837828608466</v>
      </c>
      <c r="G15" s="193">
        <f>IF(F15="","",$B15*'AEO 2018_Table 13'!G$16/'AEO 2018_Table 13'!$C$16)</f>
        <v>19.344233225905153</v>
      </c>
      <c r="H15" s="193">
        <f>IF(G15="","",$B15*'AEO 2018_Table 13'!H$16/'AEO 2018_Table 13'!$C$16)</f>
        <v>19.597863101978721</v>
      </c>
      <c r="I15" s="193">
        <f>IF(H15="","",$B15*'AEO 2018_Table 13'!I$16/'AEO 2018_Table 13'!$C$16)</f>
        <v>20.044717866570476</v>
      </c>
      <c r="J15" s="193">
        <f>IF(I15="","",$B15*'AEO 2018_Table 13'!J$16/'AEO 2018_Table 13'!$C$16)</f>
        <v>20.496410242088327</v>
      </c>
      <c r="K15" s="193">
        <f>IF(J15="","",$B15*'AEO 2018_Table 13'!K$16/'AEO 2018_Table 13'!$C$16)</f>
        <v>20.835000956183347</v>
      </c>
      <c r="L15" s="193">
        <f>IF(K15="","",$B15*'AEO 2018_Table 13'!L$16/'AEO 2018_Table 13'!$C$16)</f>
        <v>21.194201859139429</v>
      </c>
      <c r="M15" s="193">
        <f>IF(L15="","",$B15*'AEO 2018_Table 13'!M$16/'AEO 2018_Table 13'!$C$16)</f>
        <v>21.460939718197366</v>
      </c>
      <c r="N15" s="193">
        <f>IF(M15="","",$B15*'AEO 2018_Table 13'!N$16/'AEO 2018_Table 13'!$C$16)</f>
        <v>21.805992622891633</v>
      </c>
      <c r="O15" s="193">
        <f>IF(N15="","",$B15*'AEO 2018_Table 13'!O$16/'AEO 2018_Table 13'!$C$16)</f>
        <v>22.120623896192797</v>
      </c>
      <c r="P15" s="193">
        <f>IF(O15="","",$B15*'AEO 2018_Table 13'!P$16/'AEO 2018_Table 13'!$C$16)</f>
        <v>22.306433641616621</v>
      </c>
      <c r="Q15" s="193">
        <f>IF(P15="","",$B15*'AEO 2018_Table 13'!Q$16/'AEO 2018_Table 13'!$C$16)</f>
        <v>22.404943699172382</v>
      </c>
      <c r="R15" s="193">
        <f>IF(Q15="","",$B15*'AEO 2018_Table 13'!R$16/'AEO 2018_Table 13'!$C$16)</f>
        <v>22.508770509089011</v>
      </c>
      <c r="S15" s="193">
        <f>IF(R15="","",$B15*'AEO 2018_Table 13'!S$16/'AEO 2018_Table 13'!$C$16)</f>
        <v>22.575322602888516</v>
      </c>
      <c r="T15" s="193">
        <f>IF(S15="","",$B15*'AEO 2018_Table 13'!T$16/'AEO 2018_Table 13'!$C$16)</f>
        <v>22.653775053732335</v>
      </c>
      <c r="U15" s="193">
        <f>IF(T15="","",$B15*'AEO 2018_Table 13'!U$16/'AEO 2018_Table 13'!$C$16)</f>
        <v>22.82968037120353</v>
      </c>
      <c r="V15" s="193">
        <f>IF(U15="","",$B15*'AEO 2018_Table 13'!V$16/'AEO 2018_Table 13'!$C$16)</f>
        <v>22.932799425848778</v>
      </c>
      <c r="W15" s="193">
        <f>IF(V15="","",$B15*'AEO 2018_Table 13'!W$16/'AEO 2018_Table 13'!$C$16)</f>
        <v>23.108621234120587</v>
      </c>
      <c r="X15" s="193">
        <f>IF(W15="","",$B15*'AEO 2018_Table 13'!X$16/'AEO 2018_Table 13'!$C$16)</f>
        <v>23.320812779384273</v>
      </c>
      <c r="Y15" s="193">
        <f>IF(X15="","",$B15*'AEO 2018_Table 13'!Y$16/'AEO 2018_Table 13'!$C$16)</f>
        <v>23.436015200595897</v>
      </c>
      <c r="Z15" s="193">
        <f>IF(Y15="","",$B15*'AEO 2018_Table 13'!Z$16/'AEO 2018_Table 13'!$C$16)</f>
        <v>23.584334053606312</v>
      </c>
      <c r="AA15" s="193">
        <f>IF(Z15="","",$B15*'AEO 2018_Table 13'!AA$16/'AEO 2018_Table 13'!$C$16)</f>
        <v>23.782188076184038</v>
      </c>
      <c r="AB15" s="193">
        <f>IF(AA15="","",$B15*'AEO 2018_Table 13'!AB$16/'AEO 2018_Table 13'!$C$16)</f>
        <v>23.929800358450724</v>
      </c>
      <c r="AC15" s="193">
        <f>IF(AB15="","",$B15*'AEO 2018_Table 13'!AC$16/'AEO 2018_Table 13'!$C$16)</f>
        <v>24.115987375931354</v>
      </c>
      <c r="AD15" s="193">
        <f>IF(AC15="","",$B15*'AEO 2018_Table 13'!AD$16/'AEO 2018_Table 13'!$C$16)</f>
        <v>24.277812213216826</v>
      </c>
      <c r="AE15" s="193">
        <f>IF(AD15="","",$B15*'AEO 2018_Table 13'!AE$16/'AEO 2018_Table 13'!$C$16)</f>
        <v>24.434192961418972</v>
      </c>
      <c r="AF15" s="193">
        <f>IF(AE15="","",$B15*'AEO 2018_Table 13'!AF$16/'AEO 2018_Table 13'!$C$16)</f>
        <v>24.557006565051168</v>
      </c>
      <c r="AG15" s="193">
        <f>IF(AF15="","",$B15*'AEO 2018_Table 13'!AG$16/'AEO 2018_Table 13'!$C$16)</f>
        <v>24.733017897747114</v>
      </c>
      <c r="AH15" s="193">
        <f>IF(AG15="","",$B15*'AEO 2018_Table 13'!AH$16/'AEO 2018_Table 13'!$C$16)</f>
        <v>24.919629568390572</v>
      </c>
      <c r="AI15" s="193">
        <f>IF(AH15="","",$B15*'AEO 2018_Table 13'!AI$16/'AEO 2018_Table 13'!$C$16)</f>
        <v>25.111695396602393</v>
      </c>
      <c r="AJ15" s="193">
        <f>IF(AI15="","",$B15*'AEO 2018_Table 13'!AJ$16/'AEO 2018_Table 13'!$C$16)</f>
        <v>25.230354269499212</v>
      </c>
      <c r="AK15" s="193">
        <f>IF(AJ15="","",$B15*'AEO 2018_Table 13'!AK$16/'AEO 2018_Table 13'!$C$16)</f>
        <v>25.454900438161317</v>
      </c>
    </row>
    <row r="16" spans="1:37" x14ac:dyDescent="0.25">
      <c r="A16" s="194" t="s">
        <v>1176</v>
      </c>
      <c r="B16" s="195">
        <v>34.557503173637755</v>
      </c>
      <c r="C16" s="195">
        <f>IF(B16="","",$B16*'AEO 2018_Table 13'!C$16/'AEO 2018_Table 13'!$C$16)</f>
        <v>34.557503173637755</v>
      </c>
      <c r="D16" s="195">
        <f>IF(C16="","",$B16*'AEO 2018_Table 13'!D$16/'AEO 2018_Table 13'!$C$16)</f>
        <v>34.761598050016957</v>
      </c>
      <c r="E16" s="195">
        <f>IF(D16="","",$B16*'AEO 2018_Table 13'!E$16/'AEO 2018_Table 13'!$C$16)</f>
        <v>37.14642969654669</v>
      </c>
      <c r="F16" s="195">
        <f>IF(E16="","",$B16*'AEO 2018_Table 13'!F$16/'AEO 2018_Table 13'!$C$16)</f>
        <v>40.010079488575187</v>
      </c>
      <c r="G16" s="195">
        <f>IF(F16="","",$B16*'AEO 2018_Table 13'!G$16/'AEO 2018_Table 13'!$C$16)</f>
        <v>41.897423460047989</v>
      </c>
      <c r="H16" s="195">
        <f>IF(G16="","",$B16*'AEO 2018_Table 13'!H$16/'AEO 2018_Table 13'!$C$16)</f>
        <v>42.446757113952827</v>
      </c>
      <c r="I16" s="195">
        <f>IF(H16="","",$B16*'AEO 2018_Table 13'!I$16/'AEO 2018_Table 13'!$C$16)</f>
        <v>43.414594043884421</v>
      </c>
      <c r="J16" s="195">
        <f>IF(I16="","",$B16*'AEO 2018_Table 13'!J$16/'AEO 2018_Table 13'!$C$16)</f>
        <v>44.392908692479693</v>
      </c>
      <c r="K16" s="195">
        <f>IF(J16="","",$B16*'AEO 2018_Table 13'!K$16/'AEO 2018_Table 13'!$C$16)</f>
        <v>45.126257921803578</v>
      </c>
      <c r="L16" s="195">
        <f>IF(K16="","",$B16*'AEO 2018_Table 13'!L$16/'AEO 2018_Table 13'!$C$16)</f>
        <v>45.904246491452788</v>
      </c>
      <c r="M16" s="195">
        <f>IF(L16="","",$B16*'AEO 2018_Table 13'!M$16/'AEO 2018_Table 13'!$C$16)</f>
        <v>46.481970555429186</v>
      </c>
      <c r="N16" s="195">
        <f>IF(M16="","",$B16*'AEO 2018_Table 13'!N$16/'AEO 2018_Table 13'!$C$16)</f>
        <v>47.229316159427327</v>
      </c>
      <c r="O16" s="195">
        <f>IF(N16="","",$B16*'AEO 2018_Table 13'!O$16/'AEO 2018_Table 13'!$C$16)</f>
        <v>47.910771947171845</v>
      </c>
      <c r="P16" s="195">
        <f>IF(O16="","",$B16*'AEO 2018_Table 13'!P$16/'AEO 2018_Table 13'!$C$16)</f>
        <v>48.313214861094146</v>
      </c>
      <c r="Q16" s="195">
        <f>IF(P16="","",$B16*'AEO 2018_Table 13'!Q$16/'AEO 2018_Table 13'!$C$16)</f>
        <v>48.526576515096558</v>
      </c>
      <c r="R16" s="195">
        <f>IF(Q16="","",$B16*'AEO 2018_Table 13'!R$16/'AEO 2018_Table 13'!$C$16)</f>
        <v>48.751453653972106</v>
      </c>
      <c r="S16" s="195">
        <f>IF(R16="","",$B16*'AEO 2018_Table 13'!S$16/'AEO 2018_Table 13'!$C$16)</f>
        <v>48.895597969412663</v>
      </c>
      <c r="T16" s="195">
        <f>IF(S16="","",$B16*'AEO 2018_Table 13'!T$16/'AEO 2018_Table 13'!$C$16)</f>
        <v>49.065517113588427</v>
      </c>
      <c r="U16" s="195">
        <f>IF(T16="","",$B16*'AEO 2018_Table 13'!U$16/'AEO 2018_Table 13'!$C$16)</f>
        <v>49.44650815566785</v>
      </c>
      <c r="V16" s="195">
        <f>IF(U16="","",$B16*'AEO 2018_Table 13'!V$16/'AEO 2018_Table 13'!$C$16)</f>
        <v>49.669852376594939</v>
      </c>
      <c r="W16" s="195">
        <f>IF(V16="","",$B16*'AEO 2018_Table 13'!W$16/'AEO 2018_Table 13'!$C$16)</f>
        <v>50.050662547184203</v>
      </c>
      <c r="X16" s="195">
        <f>IF(W16="","",$B16*'AEO 2018_Table 13'!X$16/'AEO 2018_Table 13'!$C$16)</f>
        <v>50.510245458676856</v>
      </c>
      <c r="Y16" s="195">
        <f>IF(X16="","",$B16*'AEO 2018_Table 13'!Y$16/'AEO 2018_Table 13'!$C$16)</f>
        <v>50.759760886285655</v>
      </c>
      <c r="Z16" s="195">
        <f>IF(Y16="","",$B16*'AEO 2018_Table 13'!Z$16/'AEO 2018_Table 13'!$C$16)</f>
        <v>51.081002763341012</v>
      </c>
      <c r="AA16" s="195">
        <f>IF(Z16="","",$B16*'AEO 2018_Table 13'!AA$16/'AEO 2018_Table 13'!$C$16)</f>
        <v>51.509532220694311</v>
      </c>
      <c r="AB16" s="195">
        <f>IF(AA16="","",$B16*'AEO 2018_Table 13'!AB$16/'AEO 2018_Table 13'!$C$16)</f>
        <v>51.829243745354233</v>
      </c>
      <c r="AC16" s="195">
        <f>IF(AB16="","",$B16*'AEO 2018_Table 13'!AC$16/'AEO 2018_Table 13'!$C$16)</f>
        <v>52.232503787923548</v>
      </c>
      <c r="AD16" s="195">
        <f>IF(AC16="","",$B16*'AEO 2018_Table 13'!AD$16/'AEO 2018_Table 13'!$C$16)</f>
        <v>52.582998100875855</v>
      </c>
      <c r="AE16" s="195">
        <f>IF(AD16="","",$B16*'AEO 2018_Table 13'!AE$16/'AEO 2018_Table 13'!$C$16)</f>
        <v>52.921701132001964</v>
      </c>
      <c r="AF16" s="195">
        <f>IF(AE16="","",$B16*'AEO 2018_Table 13'!AF$16/'AEO 2018_Table 13'!$C$16)</f>
        <v>53.1877015207453</v>
      </c>
      <c r="AG16" s="195">
        <f>IF(AF16="","",$B16*'AEO 2018_Table 13'!AG$16/'AEO 2018_Table 13'!$C$16)</f>
        <v>53.568922179822863</v>
      </c>
      <c r="AH16" s="195">
        <f>IF(AG16="","",$B16*'AEO 2018_Table 13'!AH$16/'AEO 2018_Table 13'!$C$16)</f>
        <v>53.973101973161242</v>
      </c>
      <c r="AI16" s="195">
        <f>IF(AH16="","",$B16*'AEO 2018_Table 13'!AI$16/'AEO 2018_Table 13'!$C$16)</f>
        <v>54.389094855526793</v>
      </c>
      <c r="AJ16" s="195">
        <f>IF(AI16="","",$B16*'AEO 2018_Table 13'!AJ$16/'AEO 2018_Table 13'!$C$16)</f>
        <v>54.646096566940827</v>
      </c>
      <c r="AK16" s="195">
        <f>IF(AJ16="","",$B16*'AEO 2018_Table 13'!AK$16/'AEO 2018_Table 13'!$C$16)</f>
        <v>55.13243819676407</v>
      </c>
    </row>
    <row r="17" spans="1:37" x14ac:dyDescent="0.25">
      <c r="A17" s="189" t="s">
        <v>1177</v>
      </c>
      <c r="B17" s="191"/>
      <c r="C17" s="191" t="str">
        <f>IF(B17="","",$B17*'AEO 2018_Table 13'!C$16/'AEO 2018_Table 13'!$C$16)</f>
        <v/>
      </c>
      <c r="D17" s="191" t="str">
        <f>IF(C17="","",$B17*'AEO 2018_Table 13'!D$16/'AEO 2018_Table 13'!$C$16)</f>
        <v/>
      </c>
      <c r="E17" s="191" t="str">
        <f>IF(D17="","",$B17*'AEO 2018_Table 13'!E$16/'AEO 2018_Table 13'!$C$16)</f>
        <v/>
      </c>
      <c r="F17" s="191" t="str">
        <f>IF(E17="","",$B17*'AEO 2018_Table 13'!F$16/'AEO 2018_Table 13'!$C$16)</f>
        <v/>
      </c>
      <c r="G17" s="191" t="str">
        <f>IF(F17="","",$B17*'AEO 2018_Table 13'!G$16/'AEO 2018_Table 13'!$C$16)</f>
        <v/>
      </c>
      <c r="H17" s="191" t="str">
        <f>IF(G17="","",$B17*'AEO 2018_Table 13'!H$16/'AEO 2018_Table 13'!$C$16)</f>
        <v/>
      </c>
      <c r="I17" s="191" t="str">
        <f>IF(H17="","",$B17*'AEO 2018_Table 13'!I$16/'AEO 2018_Table 13'!$C$16)</f>
        <v/>
      </c>
      <c r="J17" s="191" t="str">
        <f>IF(I17="","",$B17*'AEO 2018_Table 13'!J$16/'AEO 2018_Table 13'!$C$16)</f>
        <v/>
      </c>
      <c r="K17" s="191" t="str">
        <f>IF(J17="","",$B17*'AEO 2018_Table 13'!K$16/'AEO 2018_Table 13'!$C$16)</f>
        <v/>
      </c>
      <c r="L17" s="191" t="str">
        <f>IF(K17="","",$B17*'AEO 2018_Table 13'!L$16/'AEO 2018_Table 13'!$C$16)</f>
        <v/>
      </c>
      <c r="M17" s="191" t="str">
        <f>IF(L17="","",$B17*'AEO 2018_Table 13'!M$16/'AEO 2018_Table 13'!$C$16)</f>
        <v/>
      </c>
      <c r="N17" s="191" t="str">
        <f>IF(M17="","",$B17*'AEO 2018_Table 13'!N$16/'AEO 2018_Table 13'!$C$16)</f>
        <v/>
      </c>
      <c r="O17" s="191" t="str">
        <f>IF(N17="","",$B17*'AEO 2018_Table 13'!O$16/'AEO 2018_Table 13'!$C$16)</f>
        <v/>
      </c>
      <c r="P17" s="191" t="str">
        <f>IF(O17="","",$B17*'AEO 2018_Table 13'!P$16/'AEO 2018_Table 13'!$C$16)</f>
        <v/>
      </c>
      <c r="Q17" s="191" t="str">
        <f>IF(P17="","",$B17*'AEO 2018_Table 13'!Q$16/'AEO 2018_Table 13'!$C$16)</f>
        <v/>
      </c>
      <c r="R17" s="191" t="str">
        <f>IF(Q17="","",$B17*'AEO 2018_Table 13'!R$16/'AEO 2018_Table 13'!$C$16)</f>
        <v/>
      </c>
      <c r="S17" s="191" t="str">
        <f>IF(R17="","",$B17*'AEO 2018_Table 13'!S$16/'AEO 2018_Table 13'!$C$16)</f>
        <v/>
      </c>
      <c r="T17" s="191" t="str">
        <f>IF(S17="","",$B17*'AEO 2018_Table 13'!T$16/'AEO 2018_Table 13'!$C$16)</f>
        <v/>
      </c>
      <c r="U17" s="191" t="str">
        <f>IF(T17="","",$B17*'AEO 2018_Table 13'!U$16/'AEO 2018_Table 13'!$C$16)</f>
        <v/>
      </c>
      <c r="V17" s="191" t="str">
        <f>IF(U17="","",$B17*'AEO 2018_Table 13'!V$16/'AEO 2018_Table 13'!$C$16)</f>
        <v/>
      </c>
      <c r="W17" s="191" t="str">
        <f>IF(V17="","",$B17*'AEO 2018_Table 13'!W$16/'AEO 2018_Table 13'!$C$16)</f>
        <v/>
      </c>
      <c r="X17" s="191" t="str">
        <f>IF(W17="","",$B17*'AEO 2018_Table 13'!X$16/'AEO 2018_Table 13'!$C$16)</f>
        <v/>
      </c>
      <c r="Y17" s="191" t="str">
        <f>IF(X17="","",$B17*'AEO 2018_Table 13'!Y$16/'AEO 2018_Table 13'!$C$16)</f>
        <v/>
      </c>
      <c r="Z17" s="191" t="str">
        <f>IF(Y17="","",$B17*'AEO 2018_Table 13'!Z$16/'AEO 2018_Table 13'!$C$16)</f>
        <v/>
      </c>
      <c r="AA17" s="191" t="str">
        <f>IF(Z17="","",$B17*'AEO 2018_Table 13'!AA$16/'AEO 2018_Table 13'!$C$16)</f>
        <v/>
      </c>
      <c r="AB17" s="191" t="str">
        <f>IF(AA17="","",$B17*'AEO 2018_Table 13'!AB$16/'AEO 2018_Table 13'!$C$16)</f>
        <v/>
      </c>
      <c r="AC17" s="191" t="str">
        <f>IF(AB17="","",$B17*'AEO 2018_Table 13'!AC$16/'AEO 2018_Table 13'!$C$16)</f>
        <v/>
      </c>
      <c r="AD17" s="191" t="str">
        <f>IF(AC17="","",$B17*'AEO 2018_Table 13'!AD$16/'AEO 2018_Table 13'!$C$16)</f>
        <v/>
      </c>
      <c r="AE17" s="191" t="str">
        <f>IF(AD17="","",$B17*'AEO 2018_Table 13'!AE$16/'AEO 2018_Table 13'!$C$16)</f>
        <v/>
      </c>
      <c r="AF17" s="191" t="str">
        <f>IF(AE17="","",$B17*'AEO 2018_Table 13'!AF$16/'AEO 2018_Table 13'!$C$16)</f>
        <v/>
      </c>
      <c r="AG17" s="191" t="str">
        <f>IF(AF17="","",$B17*'AEO 2018_Table 13'!AG$16/'AEO 2018_Table 13'!$C$16)</f>
        <v/>
      </c>
      <c r="AH17" s="191" t="str">
        <f>IF(AG17="","",$B17*'AEO 2018_Table 13'!AH$16/'AEO 2018_Table 13'!$C$16)</f>
        <v/>
      </c>
      <c r="AI17" s="191" t="str">
        <f>IF(AH17="","",$B17*'AEO 2018_Table 13'!AI$16/'AEO 2018_Table 13'!$C$16)</f>
        <v/>
      </c>
      <c r="AJ17" s="191" t="str">
        <f>IF(AI17="","",$B17*'AEO 2018_Table 13'!AJ$16/'AEO 2018_Table 13'!$C$16)</f>
        <v/>
      </c>
      <c r="AK17" s="191" t="str">
        <f>IF(AJ17="","",$B17*'AEO 2018_Table 13'!AK$16/'AEO 2018_Table 13'!$C$16)</f>
        <v/>
      </c>
    </row>
    <row r="18" spans="1:37" x14ac:dyDescent="0.25">
      <c r="A18" s="192" t="s">
        <v>1178</v>
      </c>
      <c r="B18" s="193">
        <v>21.707967538573133</v>
      </c>
      <c r="C18" s="193">
        <f>IF(B18="","",$B18*'AEO 2018_Table 13'!C$16/'AEO 2018_Table 13'!$C$16)</f>
        <v>21.707967538573129</v>
      </c>
      <c r="D18" s="193">
        <f>IF(C18="","",$B18*'AEO 2018_Table 13'!D$16/'AEO 2018_Table 13'!$C$16)</f>
        <v>21.836173703496776</v>
      </c>
      <c r="E18" s="193">
        <f>IF(D18="","",$B18*'AEO 2018_Table 13'!E$16/'AEO 2018_Table 13'!$C$16)</f>
        <v>23.334252071824093</v>
      </c>
      <c r="F18" s="193">
        <f>IF(E18="","",$B18*'AEO 2018_Table 13'!F$16/'AEO 2018_Table 13'!$C$16)</f>
        <v>25.133109368164252</v>
      </c>
      <c r="G18" s="193">
        <f>IF(F18="","",$B18*'AEO 2018_Table 13'!G$16/'AEO 2018_Table 13'!$C$16)</f>
        <v>26.3186811804851</v>
      </c>
      <c r="H18" s="193">
        <f>IF(G18="","",$B18*'AEO 2018_Table 13'!H$16/'AEO 2018_Table 13'!$C$16)</f>
        <v>26.66375579617403</v>
      </c>
      <c r="I18" s="193">
        <f>IF(H18="","",$B18*'AEO 2018_Table 13'!I$16/'AEO 2018_Table 13'!$C$16)</f>
        <v>27.271721381882628</v>
      </c>
      <c r="J18" s="193">
        <f>IF(I18="","",$B18*'AEO 2018_Table 13'!J$16/'AEO 2018_Table 13'!$C$16)</f>
        <v>27.886268750293713</v>
      </c>
      <c r="K18" s="193">
        <f>IF(J18="","",$B18*'AEO 2018_Table 13'!K$16/'AEO 2018_Table 13'!$C$16)</f>
        <v>28.346936327595561</v>
      </c>
      <c r="L18" s="193">
        <f>IF(K18="","",$B18*'AEO 2018_Table 13'!L$16/'AEO 2018_Table 13'!$C$16)</f>
        <v>28.835644974469371</v>
      </c>
      <c r="M18" s="193">
        <f>IF(L18="","",$B18*'AEO 2018_Table 13'!M$16/'AEO 2018_Table 13'!$C$16)</f>
        <v>29.1985535782547</v>
      </c>
      <c r="N18" s="193">
        <f>IF(M18="","",$B18*'AEO 2018_Table 13'!N$16/'AEO 2018_Table 13'!$C$16)</f>
        <v>29.668013250447199</v>
      </c>
      <c r="O18" s="193">
        <f>IF(N18="","",$B18*'AEO 2018_Table 13'!O$16/'AEO 2018_Table 13'!$C$16)</f>
        <v>30.096082953428972</v>
      </c>
      <c r="P18" s="193">
        <f>IF(O18="","",$B18*'AEO 2018_Table 13'!P$16/'AEO 2018_Table 13'!$C$16)</f>
        <v>30.348885294722493</v>
      </c>
      <c r="Q18" s="193">
        <f>IF(P18="","",$B18*'AEO 2018_Table 13'!Q$16/'AEO 2018_Table 13'!$C$16)</f>
        <v>30.482912566189079</v>
      </c>
      <c r="R18" s="193">
        <f>IF(Q18="","",$B18*'AEO 2018_Table 13'!R$16/'AEO 2018_Table 13'!$C$16)</f>
        <v>30.624173513380473</v>
      </c>
      <c r="S18" s="193">
        <f>IF(R18="","",$B18*'AEO 2018_Table 13'!S$16/'AEO 2018_Table 13'!$C$16)</f>
        <v>30.714720567799628</v>
      </c>
      <c r="T18" s="193">
        <f>IF(S18="","",$B18*'AEO 2018_Table 13'!T$16/'AEO 2018_Table 13'!$C$16)</f>
        <v>30.821458582042609</v>
      </c>
      <c r="U18" s="193">
        <f>IF(T18="","",$B18*'AEO 2018_Table 13'!U$16/'AEO 2018_Table 13'!$C$16)</f>
        <v>31.060785512937787</v>
      </c>
      <c r="V18" s="193">
        <f>IF(U18="","",$B18*'AEO 2018_Table 13'!V$16/'AEO 2018_Table 13'!$C$16)</f>
        <v>31.201083527914509</v>
      </c>
      <c r="W18" s="193">
        <f>IF(V18="","",$B18*'AEO 2018_Table 13'!W$16/'AEO 2018_Table 13'!$C$16)</f>
        <v>31.440296840866367</v>
      </c>
      <c r="X18" s="193">
        <f>IF(W18="","",$B18*'AEO 2018_Table 13'!X$16/'AEO 2018_Table 13'!$C$16)</f>
        <v>31.728992782637309</v>
      </c>
      <c r="Y18" s="193">
        <f>IF(X18="","",$B18*'AEO 2018_Table 13'!Y$16/'AEO 2018_Table 13'!$C$16)</f>
        <v>31.885730749951943</v>
      </c>
      <c r="Z18" s="193">
        <f>IF(Y18="","",$B18*'AEO 2018_Table 13'!Z$16/'AEO 2018_Table 13'!$C$16)</f>
        <v>32.087525081102221</v>
      </c>
      <c r="AA18" s="193">
        <f>IF(Z18="","",$B18*'AEO 2018_Table 13'!AA$16/'AEO 2018_Table 13'!$C$16)</f>
        <v>32.356714191866573</v>
      </c>
      <c r="AB18" s="193">
        <f>IF(AA18="","",$B18*'AEO 2018_Table 13'!AB$16/'AEO 2018_Table 13'!$C$16)</f>
        <v>32.557547202404209</v>
      </c>
      <c r="AC18" s="193">
        <f>IF(AB18="","",$B18*'AEO 2018_Table 13'!AC$16/'AEO 2018_Table 13'!$C$16)</f>
        <v>32.810862838945219</v>
      </c>
      <c r="AD18" s="193">
        <f>IF(AC18="","",$B18*'AEO 2018_Table 13'!AD$16/'AEO 2018_Table 13'!$C$16)</f>
        <v>33.031032656474963</v>
      </c>
      <c r="AE18" s="193">
        <f>IF(AD18="","",$B18*'AEO 2018_Table 13'!AE$16/'AEO 2018_Table 13'!$C$16)</f>
        <v>33.243795551061361</v>
      </c>
      <c r="AF18" s="193">
        <f>IF(AE18="","",$B18*'AEO 2018_Table 13'!AF$16/'AEO 2018_Table 13'!$C$16)</f>
        <v>33.410888867238583</v>
      </c>
      <c r="AG18" s="193">
        <f>IF(AF18="","",$B18*'AEO 2018_Table 13'!AG$16/'AEO 2018_Table 13'!$C$16)</f>
        <v>33.650360036515721</v>
      </c>
      <c r="AH18" s="193">
        <f>IF(AG18="","",$B18*'AEO 2018_Table 13'!AH$16/'AEO 2018_Table 13'!$C$16)</f>
        <v>33.904253432385531</v>
      </c>
      <c r="AI18" s="193">
        <f>IF(AH18="","",$B18*'AEO 2018_Table 13'!AI$16/'AEO 2018_Table 13'!$C$16)</f>
        <v>34.165567449815981</v>
      </c>
      <c r="AJ18" s="193">
        <f>IF(AI18="","",$B18*'AEO 2018_Table 13'!AJ$16/'AEO 2018_Table 13'!$C$16)</f>
        <v>34.3270080718627</v>
      </c>
      <c r="AK18" s="193">
        <f>IF(AJ18="","",$B18*'AEO 2018_Table 13'!AK$16/'AEO 2018_Table 13'!$C$16)</f>
        <v>34.632513022837102</v>
      </c>
    </row>
    <row r="19" spans="1:37" x14ac:dyDescent="0.25">
      <c r="A19" s="181" t="s">
        <v>1179</v>
      </c>
      <c r="B19" s="196">
        <v>116.99562301997791</v>
      </c>
      <c r="C19" s="196">
        <f>IF(B19="","",$B19*'AEO 2018_Table 13'!C$16/'AEO 2018_Table 13'!$C$16)</f>
        <v>116.99562301997791</v>
      </c>
      <c r="D19" s="196">
        <f>IF(C19="","",$B19*'AEO 2018_Table 13'!D$16/'AEO 2018_Table 13'!$C$16)</f>
        <v>117.68659328762692</v>
      </c>
      <c r="E19" s="196">
        <f>IF(D19="","",$B19*'AEO 2018_Table 13'!E$16/'AEO 2018_Table 13'!$C$16)</f>
        <v>125.76052336531704</v>
      </c>
      <c r="F19" s="196">
        <f>IF(E19="","",$B19*'AEO 2018_Table 13'!F$16/'AEO 2018_Table 13'!$C$16)</f>
        <v>135.45550884635685</v>
      </c>
      <c r="G19" s="196">
        <f>IF(F19="","",$B19*'AEO 2018_Table 13'!G$16/'AEO 2018_Table 13'!$C$16)</f>
        <v>141.84517718223088</v>
      </c>
      <c r="H19" s="196">
        <f>IF(G19="","",$B19*'AEO 2018_Table 13'!H$16/'AEO 2018_Table 13'!$C$16)</f>
        <v>143.70496527981155</v>
      </c>
      <c r="I19" s="196">
        <f>IF(H19="","",$B19*'AEO 2018_Table 13'!I$16/'AEO 2018_Table 13'!$C$16)</f>
        <v>146.98161070266343</v>
      </c>
      <c r="J19" s="196">
        <f>IF(I19="","",$B19*'AEO 2018_Table 13'!J$16/'AEO 2018_Table 13'!$C$16)</f>
        <v>150.29372880468216</v>
      </c>
      <c r="K19" s="196">
        <f>IF(J19="","",$B19*'AEO 2018_Table 13'!K$16/'AEO 2018_Table 13'!$C$16)</f>
        <v>152.77650800157215</v>
      </c>
      <c r="L19" s="196">
        <f>IF(K19="","",$B19*'AEO 2018_Table 13'!L$16/'AEO 2018_Table 13'!$C$16)</f>
        <v>155.4104152300888</v>
      </c>
      <c r="M19" s="196">
        <f>IF(L19="","",$B19*'AEO 2018_Table 13'!M$16/'AEO 2018_Table 13'!$C$16)</f>
        <v>157.36632004355093</v>
      </c>
      <c r="N19" s="196">
        <f>IF(M19="","",$B19*'AEO 2018_Table 13'!N$16/'AEO 2018_Table 13'!$C$16)</f>
        <v>159.89648445131132</v>
      </c>
      <c r="O19" s="196">
        <f>IF(N19="","",$B19*'AEO 2018_Table 13'!O$16/'AEO 2018_Table 13'!$C$16)</f>
        <v>162.20357660571673</v>
      </c>
      <c r="P19" s="196">
        <f>IF(O19="","",$B19*'AEO 2018_Table 13'!P$16/'AEO 2018_Table 13'!$C$16)</f>
        <v>163.56606101923862</v>
      </c>
      <c r="Q19" s="196">
        <f>IF(P19="","",$B19*'AEO 2018_Table 13'!Q$16/'AEO 2018_Table 13'!$C$16)</f>
        <v>164.28840428325159</v>
      </c>
      <c r="R19" s="196">
        <f>IF(Q19="","",$B19*'AEO 2018_Table 13'!R$16/'AEO 2018_Table 13'!$C$16)</f>
        <v>165.04973361985034</v>
      </c>
      <c r="S19" s="196">
        <f>IF(R19="","",$B19*'AEO 2018_Table 13'!S$16/'AEO 2018_Table 13'!$C$16)</f>
        <v>165.53773918856928</v>
      </c>
      <c r="T19" s="196">
        <f>IF(S19="","",$B19*'AEO 2018_Table 13'!T$16/'AEO 2018_Table 13'!$C$16)</f>
        <v>166.11300633203089</v>
      </c>
      <c r="U19" s="196">
        <f>IF(T19="","",$B19*'AEO 2018_Table 13'!U$16/'AEO 2018_Table 13'!$C$16)</f>
        <v>167.40286469098538</v>
      </c>
      <c r="V19" s="196">
        <f>IF(U19="","",$B19*'AEO 2018_Table 13'!V$16/'AEO 2018_Table 13'!$C$16)</f>
        <v>168.15900428081576</v>
      </c>
      <c r="W19" s="196">
        <f>IF(V19="","",$B19*'AEO 2018_Table 13'!W$16/'AEO 2018_Table 13'!$C$16)</f>
        <v>169.44825029308038</v>
      </c>
      <c r="X19" s="196">
        <f>IF(W19="","",$B19*'AEO 2018_Table 13'!X$16/'AEO 2018_Table 13'!$C$16)</f>
        <v>171.00418414597624</v>
      </c>
      <c r="Y19" s="196">
        <f>IF(X19="","",$B19*'AEO 2018_Table 13'!Y$16/'AEO 2018_Table 13'!$C$16)</f>
        <v>171.84892726180578</v>
      </c>
      <c r="Z19" s="196">
        <f>IF(Y19="","",$B19*'AEO 2018_Table 13'!Z$16/'AEO 2018_Table 13'!$C$16)</f>
        <v>172.93650275466916</v>
      </c>
      <c r="AA19" s="196">
        <f>IF(Z19="","",$B19*'AEO 2018_Table 13'!AA$16/'AEO 2018_Table 13'!$C$16)</f>
        <v>174.38730406382479</v>
      </c>
      <c r="AB19" s="196">
        <f>IF(AA19="","",$B19*'AEO 2018_Table 13'!AB$16/'AEO 2018_Table 13'!$C$16)</f>
        <v>175.46969849568845</v>
      </c>
      <c r="AC19" s="196">
        <f>IF(AB19="","",$B19*'AEO 2018_Table 13'!AC$16/'AEO 2018_Table 13'!$C$16)</f>
        <v>176.83494932652536</v>
      </c>
      <c r="AD19" s="196">
        <f>IF(AC19="","",$B19*'AEO 2018_Table 13'!AD$16/'AEO 2018_Table 13'!$C$16)</f>
        <v>178.02155995353661</v>
      </c>
      <c r="AE19" s="196">
        <f>IF(AD19="","",$B19*'AEO 2018_Table 13'!AE$16/'AEO 2018_Table 13'!$C$16)</f>
        <v>179.16825078783231</v>
      </c>
      <c r="AF19" s="196">
        <f>IF(AE19="","",$B19*'AEO 2018_Table 13'!AF$16/'AEO 2018_Table 13'!$C$16)</f>
        <v>180.06880431012277</v>
      </c>
      <c r="AG19" s="196">
        <f>IF(AF19="","",$B19*'AEO 2018_Table 13'!AG$16/'AEO 2018_Table 13'!$C$16)</f>
        <v>181.35944004537143</v>
      </c>
      <c r="AH19" s="196">
        <f>IF(AG19="","",$B19*'AEO 2018_Table 13'!AH$16/'AEO 2018_Table 13'!$C$16)</f>
        <v>182.72780472426939</v>
      </c>
      <c r="AI19" s="196">
        <f>IF(AH19="","",$B19*'AEO 2018_Table 13'!AI$16/'AEO 2018_Table 13'!$C$16)</f>
        <v>184.13616302491653</v>
      </c>
      <c r="AJ19" s="196">
        <f>IF(AI19="","",$B19*'AEO 2018_Table 13'!AJ$16/'AEO 2018_Table 13'!$C$16)</f>
        <v>185.0062512136669</v>
      </c>
      <c r="AK19" s="196">
        <f>IF(AJ19="","",$B19*'AEO 2018_Table 13'!AK$16/'AEO 2018_Table 13'!$C$16)</f>
        <v>186.65277763358284</v>
      </c>
    </row>
    <row r="20" spans="1:37" x14ac:dyDescent="0.25">
      <c r="A20" s="181" t="s">
        <v>1180</v>
      </c>
      <c r="B20" s="196">
        <v>5.4703150840907853</v>
      </c>
      <c r="C20" s="196">
        <f>IF(B20="","",$B20*'AEO 2018_Table 13'!C$16/'AEO 2018_Table 13'!$C$16)</f>
        <v>5.4703150840907853</v>
      </c>
      <c r="D20" s="196">
        <f>IF(C20="","",$B20*'AEO 2018_Table 13'!D$16/'AEO 2018_Table 13'!$C$16)</f>
        <v>5.5026224899595766</v>
      </c>
      <c r="E20" s="196">
        <f>IF(D20="","",$B20*'AEO 2018_Table 13'!E$16/'AEO 2018_Table 13'!$C$16)</f>
        <v>5.8801318390430097</v>
      </c>
      <c r="F20" s="196">
        <f>IF(E20="","",$B20*'AEO 2018_Table 13'!F$16/'AEO 2018_Table 13'!$C$16)</f>
        <v>6.3334361930692893</v>
      </c>
      <c r="G20" s="196">
        <f>IF(F20="","",$B20*'AEO 2018_Table 13'!G$16/'AEO 2018_Table 13'!$C$16)</f>
        <v>6.6321952250554723</v>
      </c>
      <c r="H20" s="196">
        <f>IF(G20="","",$B20*'AEO 2018_Table 13'!H$16/'AEO 2018_Table 13'!$C$16)</f>
        <v>6.7191525540631636</v>
      </c>
      <c r="I20" s="196">
        <f>IF(H20="","",$B20*'AEO 2018_Table 13'!I$16/'AEO 2018_Table 13'!$C$16)</f>
        <v>6.8723572844553678</v>
      </c>
      <c r="J20" s="196">
        <f>IF(I20="","",$B20*'AEO 2018_Table 13'!J$16/'AEO 2018_Table 13'!$C$16)</f>
        <v>7.0272205959714684</v>
      </c>
      <c r="K20" s="196">
        <f>IF(J20="","",$B20*'AEO 2018_Table 13'!K$16/'AEO 2018_Table 13'!$C$16)</f>
        <v>7.1433068574967828</v>
      </c>
      <c r="L20" s="196">
        <f>IF(K20="","",$B20*'AEO 2018_Table 13'!L$16/'AEO 2018_Table 13'!$C$16)</f>
        <v>7.2664593487638278</v>
      </c>
      <c r="M20" s="196">
        <f>IF(L20="","",$B20*'AEO 2018_Table 13'!M$16/'AEO 2018_Table 13'!$C$16)</f>
        <v>7.3579107665856789</v>
      </c>
      <c r="N20" s="196">
        <f>IF(M20="","",$B20*'AEO 2018_Table 13'!N$16/'AEO 2018_Table 13'!$C$16)</f>
        <v>7.4762125984639347</v>
      </c>
      <c r="O20" s="196">
        <f>IF(N20="","",$B20*'AEO 2018_Table 13'!O$16/'AEO 2018_Table 13'!$C$16)</f>
        <v>7.5840843349174971</v>
      </c>
      <c r="P20" s="196">
        <f>IF(O20="","",$B20*'AEO 2018_Table 13'!P$16/'AEO 2018_Table 13'!$C$16)</f>
        <v>7.64778944496127</v>
      </c>
      <c r="Q20" s="196">
        <f>IF(P20="","",$B20*'AEO 2018_Table 13'!Q$16/'AEO 2018_Table 13'!$C$16)</f>
        <v>7.6815637448113323</v>
      </c>
      <c r="R20" s="196">
        <f>IF(Q20="","",$B20*'AEO 2018_Table 13'!R$16/'AEO 2018_Table 13'!$C$16)</f>
        <v>7.7171609000420531</v>
      </c>
      <c r="S20" s="196">
        <f>IF(R20="","",$B20*'AEO 2018_Table 13'!S$16/'AEO 2018_Table 13'!$C$16)</f>
        <v>7.7399783709420316</v>
      </c>
      <c r="T20" s="196">
        <f>IF(S20="","",$B20*'AEO 2018_Table 13'!T$16/'AEO 2018_Table 13'!$C$16)</f>
        <v>7.7668758945504388</v>
      </c>
      <c r="U20" s="196">
        <f>IF(T20="","",$B20*'AEO 2018_Table 13'!U$16/'AEO 2018_Table 13'!$C$16)</f>
        <v>7.827185258740279</v>
      </c>
      <c r="V20" s="196">
        <f>IF(U20="","",$B20*'AEO 2018_Table 13'!V$16/'AEO 2018_Table 13'!$C$16)</f>
        <v>7.8625397591665127</v>
      </c>
      <c r="W20" s="196">
        <f>IF(V20="","",$B20*'AEO 2018_Table 13'!W$16/'AEO 2018_Table 13'!$C$16)</f>
        <v>7.9228204921200094</v>
      </c>
      <c r="X20" s="196">
        <f>IF(W20="","",$B20*'AEO 2018_Table 13'!X$16/'AEO 2018_Table 13'!$C$16)</f>
        <v>7.9955706361479635</v>
      </c>
      <c r="Y20" s="196">
        <f>IF(X20="","",$B20*'AEO 2018_Table 13'!Y$16/'AEO 2018_Table 13'!$C$16)</f>
        <v>8.0350679343324867</v>
      </c>
      <c r="Z20" s="196">
        <f>IF(Y20="","",$B20*'AEO 2018_Table 13'!Z$16/'AEO 2018_Table 13'!$C$16)</f>
        <v>8.0859192437244811</v>
      </c>
      <c r="AA20" s="196">
        <f>IF(Z20="","",$B20*'AEO 2018_Table 13'!AA$16/'AEO 2018_Table 13'!$C$16)</f>
        <v>8.1537537496712336</v>
      </c>
      <c r="AB20" s="196">
        <f>IF(AA20="","",$B20*'AEO 2018_Table 13'!AB$16/'AEO 2018_Table 13'!$C$16)</f>
        <v>8.204362810375569</v>
      </c>
      <c r="AC20" s="196">
        <f>IF(AB20="","",$B20*'AEO 2018_Table 13'!AC$16/'AEO 2018_Table 13'!$C$16)</f>
        <v>8.2681972686289296</v>
      </c>
      <c r="AD20" s="196">
        <f>IF(AC20="","",$B20*'AEO 2018_Table 13'!AD$16/'AEO 2018_Table 13'!$C$16)</f>
        <v>8.3236791220891551</v>
      </c>
      <c r="AE20" s="196">
        <f>IF(AD20="","",$B20*'AEO 2018_Table 13'!AE$16/'AEO 2018_Table 13'!$C$16)</f>
        <v>8.3772944626097594</v>
      </c>
      <c r="AF20" s="196">
        <f>IF(AE20="","",$B20*'AEO 2018_Table 13'!AF$16/'AEO 2018_Table 13'!$C$16)</f>
        <v>8.4194012644699896</v>
      </c>
      <c r="AG20" s="196">
        <f>IF(AF20="","",$B20*'AEO 2018_Table 13'!AG$16/'AEO 2018_Table 13'!$C$16)</f>
        <v>8.4797469761159014</v>
      </c>
      <c r="AH20" s="196">
        <f>IF(AG20="","",$B20*'AEO 2018_Table 13'!AH$16/'AEO 2018_Table 13'!$C$16)</f>
        <v>8.5437270272519541</v>
      </c>
      <c r="AI20" s="196">
        <f>IF(AH20="","",$B20*'AEO 2018_Table 13'!AI$16/'AEO 2018_Table 13'!$C$16)</f>
        <v>8.6095770433206678</v>
      </c>
      <c r="AJ20" s="196">
        <f>IF(AI20="","",$B20*'AEO 2018_Table 13'!AJ$16/'AEO 2018_Table 13'!$C$16)</f>
        <v>8.6502593904081113</v>
      </c>
      <c r="AK20" s="196">
        <f>IF(AJ20="","",$B20*'AEO 2018_Table 13'!AK$16/'AEO 2018_Table 13'!$C$16)</f>
        <v>8.7272453329478754</v>
      </c>
    </row>
    <row r="21" spans="1:37" x14ac:dyDescent="0.25">
      <c r="A21" s="181" t="s">
        <v>1181</v>
      </c>
      <c r="B21" s="196">
        <v>76.562884911775541</v>
      </c>
      <c r="C21" s="196">
        <f>IF(B21="","",$B21*'AEO 2018_Table 13'!C$16/'AEO 2018_Table 13'!$C$16)</f>
        <v>76.562884911775541</v>
      </c>
      <c r="D21" s="196">
        <f>IF(C21="","",$B21*'AEO 2018_Table 13'!D$16/'AEO 2018_Table 13'!$C$16)</f>
        <v>77.015061460896831</v>
      </c>
      <c r="E21" s="196">
        <f>IF(D21="","",$B21*'AEO 2018_Table 13'!E$16/'AEO 2018_Table 13'!$C$16)</f>
        <v>82.298706809051055</v>
      </c>
      <c r="F21" s="196">
        <f>IF(E21="","",$B21*'AEO 2018_Table 13'!F$16/'AEO 2018_Table 13'!$C$16)</f>
        <v>88.643183965084802</v>
      </c>
      <c r="G21" s="196">
        <f>IF(F21="","",$B21*'AEO 2018_Table 13'!G$16/'AEO 2018_Table 13'!$C$16)</f>
        <v>92.824634764662179</v>
      </c>
      <c r="H21" s="196">
        <f>IF(G21="","",$B21*'AEO 2018_Table 13'!H$16/'AEO 2018_Table 13'!$C$16)</f>
        <v>94.041695184529715</v>
      </c>
      <c r="I21" s="196">
        <f>IF(H21="","",$B21*'AEO 2018_Table 13'!I$16/'AEO 2018_Table 13'!$C$16)</f>
        <v>96.18595853328479</v>
      </c>
      <c r="J21" s="196">
        <f>IF(I21="","",$B21*'AEO 2018_Table 13'!J$16/'AEO 2018_Table 13'!$C$16)</f>
        <v>98.353435491083189</v>
      </c>
      <c r="K21" s="196">
        <f>IF(J21="","",$B21*'AEO 2018_Table 13'!K$16/'AEO 2018_Table 13'!$C$16)</f>
        <v>99.978186340782756</v>
      </c>
      <c r="L21" s="196">
        <f>IF(K21="","",$B21*'AEO 2018_Table 13'!L$16/'AEO 2018_Table 13'!$C$16)</f>
        <v>101.70183660050895</v>
      </c>
      <c r="M21" s="196">
        <f>IF(L21="","",$B21*'AEO 2018_Table 13'!M$16/'AEO 2018_Table 13'!$C$16)</f>
        <v>102.98179657906232</v>
      </c>
      <c r="N21" s="196">
        <f>IF(M21="","",$B21*'AEO 2018_Table 13'!N$16/'AEO 2018_Table 13'!$C$16)</f>
        <v>104.6375566952006</v>
      </c>
      <c r="O21" s="196">
        <f>IF(N21="","",$B21*'AEO 2018_Table 13'!O$16/'AEO 2018_Table 13'!$C$16)</f>
        <v>106.14733651891623</v>
      </c>
      <c r="P21" s="196">
        <f>IF(O21="","",$B21*'AEO 2018_Table 13'!P$16/'AEO 2018_Table 13'!$C$16)</f>
        <v>107.03895737321734</v>
      </c>
      <c r="Q21" s="196">
        <f>IF(P21="","",$B21*'AEO 2018_Table 13'!Q$16/'AEO 2018_Table 13'!$C$16)</f>
        <v>107.51166466569425</v>
      </c>
      <c r="R21" s="196">
        <f>IF(Q21="","",$B21*'AEO 2018_Table 13'!R$16/'AEO 2018_Table 13'!$C$16)</f>
        <v>108.00988476037263</v>
      </c>
      <c r="S21" s="196">
        <f>IF(R21="","",$B21*'AEO 2018_Table 13'!S$16/'AEO 2018_Table 13'!$C$16)</f>
        <v>108.32923956382328</v>
      </c>
      <c r="T21" s="196">
        <f>IF(S21="","",$B21*'AEO 2018_Table 13'!T$16/'AEO 2018_Table 13'!$C$16)</f>
        <v>108.70569904975514</v>
      </c>
      <c r="U21" s="196">
        <f>IF(T21="","",$B21*'AEO 2018_Table 13'!U$16/'AEO 2018_Table 13'!$C$16)</f>
        <v>109.54979282471849</v>
      </c>
      <c r="V21" s="196">
        <f>IF(U21="","",$B21*'AEO 2018_Table 13'!V$16/'AEO 2018_Table 13'!$C$16)</f>
        <v>110.04461670700626</v>
      </c>
      <c r="W21" s="196">
        <f>IF(V21="","",$B21*'AEO 2018_Table 13'!W$16/'AEO 2018_Table 13'!$C$16)</f>
        <v>110.8883097573277</v>
      </c>
      <c r="X21" s="196">
        <f>IF(W21="","",$B21*'AEO 2018_Table 13'!X$16/'AEO 2018_Table 13'!$C$16)</f>
        <v>111.90652549424685</v>
      </c>
      <c r="Y21" s="196">
        <f>IF(X21="","",$B21*'AEO 2018_Table 13'!Y$16/'AEO 2018_Table 13'!$C$16)</f>
        <v>112.45933224280552</v>
      </c>
      <c r="Z21" s="196">
        <f>IF(Y21="","",$B21*'AEO 2018_Table 13'!Z$16/'AEO 2018_Table 13'!$C$16)</f>
        <v>113.17105046903993</v>
      </c>
      <c r="AA21" s="196">
        <f>IF(Z21="","",$B21*'AEO 2018_Table 13'!AA$16/'AEO 2018_Table 13'!$C$16)</f>
        <v>114.12046661637534</v>
      </c>
      <c r="AB21" s="196">
        <f>IF(AA21="","",$B21*'AEO 2018_Table 13'!AB$16/'AEO 2018_Table 13'!$C$16)</f>
        <v>114.82879431425658</v>
      </c>
      <c r="AC21" s="196">
        <f>IF(AB21="","",$B21*'AEO 2018_Table 13'!AC$16/'AEO 2018_Table 13'!$C$16)</f>
        <v>115.72222553449313</v>
      </c>
      <c r="AD21" s="196">
        <f>IF(AC21="","",$B21*'AEO 2018_Table 13'!AD$16/'AEO 2018_Table 13'!$C$16)</f>
        <v>116.49875315600458</v>
      </c>
      <c r="AE21" s="196">
        <f>IF(AD21="","",$B21*'AEO 2018_Table 13'!AE$16/'AEO 2018_Table 13'!$C$16)</f>
        <v>117.24915694128616</v>
      </c>
      <c r="AF21" s="196">
        <f>IF(AE21="","",$B21*'AEO 2018_Table 13'!AF$16/'AEO 2018_Table 13'!$C$16)</f>
        <v>117.83848647263321</v>
      </c>
      <c r="AG21" s="196">
        <f>IF(AF21="","",$B21*'AEO 2018_Table 13'!AG$16/'AEO 2018_Table 13'!$C$16)</f>
        <v>118.68308896895047</v>
      </c>
      <c r="AH21" s="196">
        <f>IF(AG21="","",$B21*'AEO 2018_Table 13'!AH$16/'AEO 2018_Table 13'!$C$16)</f>
        <v>119.57855791662139</v>
      </c>
      <c r="AI21" s="196">
        <f>IF(AH21="","",$B21*'AEO 2018_Table 13'!AI$16/'AEO 2018_Table 13'!$C$16)</f>
        <v>120.50019901484075</v>
      </c>
      <c r="AJ21" s="196">
        <f>IF(AI21="","",$B21*'AEO 2018_Table 13'!AJ$16/'AEO 2018_Table 13'!$C$16)</f>
        <v>121.06959178474818</v>
      </c>
      <c r="AK21" s="196">
        <f>IF(AJ21="","",$B21*'AEO 2018_Table 13'!AK$16/'AEO 2018_Table 13'!$C$16)</f>
        <v>122.14709203251979</v>
      </c>
    </row>
    <row r="22" spans="1:37" x14ac:dyDescent="0.25">
      <c r="A22" s="194" t="s">
        <v>1182</v>
      </c>
      <c r="B22" s="195">
        <v>66.135075868709905</v>
      </c>
      <c r="C22" s="195">
        <f>IF(B22="","",$B22*'AEO 2018_Table 13'!C$16/'AEO 2018_Table 13'!$C$16)</f>
        <v>66.135075868709905</v>
      </c>
      <c r="D22" s="195">
        <f>IF(C22="","",$B22*'AEO 2018_Table 13'!D$16/'AEO 2018_Table 13'!$C$16)</f>
        <v>66.525666301876669</v>
      </c>
      <c r="E22" s="195">
        <f>IF(D22="","",$B22*'AEO 2018_Table 13'!E$16/'AEO 2018_Table 13'!$C$16)</f>
        <v>71.08968301005315</v>
      </c>
      <c r="F22" s="195">
        <f>IF(E22="","",$B22*'AEO 2018_Table 13'!F$16/'AEO 2018_Table 13'!$C$16)</f>
        <v>76.570047008158625</v>
      </c>
      <c r="G22" s="195">
        <f>IF(F22="","",$B22*'AEO 2018_Table 13'!G$16/'AEO 2018_Table 13'!$C$16)</f>
        <v>80.181987260801804</v>
      </c>
      <c r="H22" s="195">
        <f>IF(G22="","",$B22*'AEO 2018_Table 13'!H$16/'AEO 2018_Table 13'!$C$16)</f>
        <v>81.233284939794615</v>
      </c>
      <c r="I22" s="195">
        <f>IF(H22="","",$B22*'AEO 2018_Table 13'!I$16/'AEO 2018_Table 13'!$C$16)</f>
        <v>83.08550118550977</v>
      </c>
      <c r="J22" s="195">
        <f>IF(I22="","",$B22*'AEO 2018_Table 13'!J$16/'AEO 2018_Table 13'!$C$16)</f>
        <v>84.957769363659736</v>
      </c>
      <c r="K22" s="195">
        <f>IF(J22="","",$B22*'AEO 2018_Table 13'!K$16/'AEO 2018_Table 13'!$C$16)</f>
        <v>86.361230333507635</v>
      </c>
      <c r="L22" s="195">
        <f>IF(K22="","",$B22*'AEO 2018_Table 13'!L$16/'AEO 2018_Table 13'!$C$16)</f>
        <v>87.850120685921453</v>
      </c>
      <c r="M22" s="195">
        <f>IF(L22="","",$B22*'AEO 2018_Table 13'!M$16/'AEO 2018_Table 13'!$C$16)</f>
        <v>88.955751049616396</v>
      </c>
      <c r="N22" s="195">
        <f>IF(M22="","",$B22*'AEO 2018_Table 13'!N$16/'AEO 2018_Table 13'!$C$16)</f>
        <v>90.385997846447168</v>
      </c>
      <c r="O22" s="195">
        <f>IF(N22="","",$B22*'AEO 2018_Table 13'!O$16/'AEO 2018_Table 13'!$C$16)</f>
        <v>91.690146760134752</v>
      </c>
      <c r="P22" s="195">
        <f>IF(O22="","",$B22*'AEO 2018_Table 13'!P$16/'AEO 2018_Table 13'!$C$16)</f>
        <v>92.460329504858606</v>
      </c>
      <c r="Q22" s="195">
        <f>IF(P22="","",$B22*'AEO 2018_Table 13'!Q$16/'AEO 2018_Table 13'!$C$16)</f>
        <v>92.868654409121007</v>
      </c>
      <c r="R22" s="195">
        <f>IF(Q22="","",$B22*'AEO 2018_Table 13'!R$16/'AEO 2018_Table 13'!$C$16)</f>
        <v>93.299017290546374</v>
      </c>
      <c r="S22" s="195">
        <f>IF(R22="","",$B22*'AEO 2018_Table 13'!S$16/'AEO 2018_Table 13'!$C$16)</f>
        <v>93.574876202858547</v>
      </c>
      <c r="T22" s="195">
        <f>IF(S22="","",$B22*'AEO 2018_Table 13'!T$16/'AEO 2018_Table 13'!$C$16)</f>
        <v>93.900062181577738</v>
      </c>
      <c r="U22" s="195">
        <f>IF(T22="","",$B22*'AEO 2018_Table 13'!U$16/'AEO 2018_Table 13'!$C$16)</f>
        <v>94.629191000480432</v>
      </c>
      <c r="V22" s="195">
        <f>IF(U22="","",$B22*'AEO 2018_Table 13'!V$16/'AEO 2018_Table 13'!$C$16)</f>
        <v>95.056620231163947</v>
      </c>
      <c r="W22" s="195">
        <f>IF(V22="","",$B22*'AEO 2018_Table 13'!W$16/'AEO 2018_Table 13'!$C$16)</f>
        <v>95.785402903828498</v>
      </c>
      <c r="X22" s="195">
        <f>IF(W22="","",$B22*'AEO 2018_Table 13'!X$16/'AEO 2018_Table 13'!$C$16)</f>
        <v>96.664938400557205</v>
      </c>
      <c r="Y22" s="195">
        <f>IF(X22="","",$B22*'AEO 2018_Table 13'!Y$16/'AEO 2018_Table 13'!$C$16)</f>
        <v>97.142453273446222</v>
      </c>
      <c r="Z22" s="195">
        <f>IF(Y22="","",$B22*'AEO 2018_Table 13'!Z$16/'AEO 2018_Table 13'!$C$16)</f>
        <v>97.757235996738274</v>
      </c>
      <c r="AA22" s="195">
        <f>IF(Z22="","",$B22*'AEO 2018_Table 13'!AA$16/'AEO 2018_Table 13'!$C$16)</f>
        <v>98.577342357768941</v>
      </c>
      <c r="AB22" s="195">
        <f>IF(AA22="","",$B22*'AEO 2018_Table 13'!AB$16/'AEO 2018_Table 13'!$C$16)</f>
        <v>99.189196340194812</v>
      </c>
      <c r="AC22" s="195">
        <f>IF(AB22="","",$B22*'AEO 2018_Table 13'!AC$16/'AEO 2018_Table 13'!$C$16)</f>
        <v>99.960942880335068</v>
      </c>
      <c r="AD22" s="195">
        <f>IF(AC22="","",$B22*'AEO 2018_Table 13'!AD$16/'AEO 2018_Table 13'!$C$16)</f>
        <v>100.63170800657066</v>
      </c>
      <c r="AE22" s="195">
        <f>IF(AD22="","",$B22*'AEO 2018_Table 13'!AE$16/'AEO 2018_Table 13'!$C$16)</f>
        <v>101.27990734400356</v>
      </c>
      <c r="AF22" s="195">
        <f>IF(AE22="","",$B22*'AEO 2018_Table 13'!AF$16/'AEO 2018_Table 13'!$C$16)</f>
        <v>101.7889706233225</v>
      </c>
      <c r="AG22" s="195">
        <f>IF(AF22="","",$B22*'AEO 2018_Table 13'!AG$16/'AEO 2018_Table 13'!$C$16)</f>
        <v>102.51853887610203</v>
      </c>
      <c r="AH22" s="195">
        <f>IF(AG22="","",$B22*'AEO 2018_Table 13'!AH$16/'AEO 2018_Table 13'!$C$16)</f>
        <v>103.2920456066874</v>
      </c>
      <c r="AI22" s="195">
        <f>IF(AH22="","",$B22*'AEO 2018_Table 13'!AI$16/'AEO 2018_Table 13'!$C$16)</f>
        <v>104.08815986001909</v>
      </c>
      <c r="AJ22" s="195">
        <f>IF(AI22="","",$B22*'AEO 2018_Table 13'!AJ$16/'AEO 2018_Table 13'!$C$16)</f>
        <v>104.58000175025502</v>
      </c>
      <c r="AK22" s="195">
        <f>IF(AJ22="","",$B22*'AEO 2018_Table 13'!AK$16/'AEO 2018_Table 13'!$C$16)</f>
        <v>105.51074725072881</v>
      </c>
    </row>
    <row r="23" spans="1:37" x14ac:dyDescent="0.25">
      <c r="A23" s="189" t="s">
        <v>1183</v>
      </c>
      <c r="B23" s="191"/>
      <c r="C23" s="191" t="str">
        <f>IF(B23="","",$B23*'AEO 2018_Table 13'!C$16/'AEO 2018_Table 13'!$C$16)</f>
        <v/>
      </c>
      <c r="D23" s="191" t="str">
        <f>IF(C23="","",$B23*'AEO 2018_Table 13'!D$16/'AEO 2018_Table 13'!$C$16)</f>
        <v/>
      </c>
      <c r="E23" s="191" t="str">
        <f>IF(D23="","",$B23*'AEO 2018_Table 13'!E$16/'AEO 2018_Table 13'!$C$16)</f>
        <v/>
      </c>
      <c r="F23" s="191" t="str">
        <f>IF(E23="","",$B23*'AEO 2018_Table 13'!F$16/'AEO 2018_Table 13'!$C$16)</f>
        <v/>
      </c>
      <c r="G23" s="191" t="str">
        <f>IF(F23="","",$B23*'AEO 2018_Table 13'!G$16/'AEO 2018_Table 13'!$C$16)</f>
        <v/>
      </c>
      <c r="H23" s="191" t="str">
        <f>IF(G23="","",$B23*'AEO 2018_Table 13'!H$16/'AEO 2018_Table 13'!$C$16)</f>
        <v/>
      </c>
      <c r="I23" s="191" t="str">
        <f>IF(H23="","",$B23*'AEO 2018_Table 13'!I$16/'AEO 2018_Table 13'!$C$16)</f>
        <v/>
      </c>
      <c r="J23" s="191" t="str">
        <f>IF(I23="","",$B23*'AEO 2018_Table 13'!J$16/'AEO 2018_Table 13'!$C$16)</f>
        <v/>
      </c>
      <c r="K23" s="191" t="str">
        <f>IF(J23="","",$B23*'AEO 2018_Table 13'!K$16/'AEO 2018_Table 13'!$C$16)</f>
        <v/>
      </c>
      <c r="L23" s="191" t="str">
        <f>IF(K23="","",$B23*'AEO 2018_Table 13'!L$16/'AEO 2018_Table 13'!$C$16)</f>
        <v/>
      </c>
      <c r="M23" s="191" t="str">
        <f>IF(L23="","",$B23*'AEO 2018_Table 13'!M$16/'AEO 2018_Table 13'!$C$16)</f>
        <v/>
      </c>
      <c r="N23" s="191" t="str">
        <f>IF(M23="","",$B23*'AEO 2018_Table 13'!N$16/'AEO 2018_Table 13'!$C$16)</f>
        <v/>
      </c>
      <c r="O23" s="191" t="str">
        <f>IF(N23="","",$B23*'AEO 2018_Table 13'!O$16/'AEO 2018_Table 13'!$C$16)</f>
        <v/>
      </c>
      <c r="P23" s="191" t="str">
        <f>IF(O23="","",$B23*'AEO 2018_Table 13'!P$16/'AEO 2018_Table 13'!$C$16)</f>
        <v/>
      </c>
      <c r="Q23" s="191" t="str">
        <f>IF(P23="","",$B23*'AEO 2018_Table 13'!Q$16/'AEO 2018_Table 13'!$C$16)</f>
        <v/>
      </c>
      <c r="R23" s="191" t="str">
        <f>IF(Q23="","",$B23*'AEO 2018_Table 13'!R$16/'AEO 2018_Table 13'!$C$16)</f>
        <v/>
      </c>
      <c r="S23" s="191" t="str">
        <f>IF(R23="","",$B23*'AEO 2018_Table 13'!S$16/'AEO 2018_Table 13'!$C$16)</f>
        <v/>
      </c>
      <c r="T23" s="191" t="str">
        <f>IF(S23="","",$B23*'AEO 2018_Table 13'!T$16/'AEO 2018_Table 13'!$C$16)</f>
        <v/>
      </c>
      <c r="U23" s="191" t="str">
        <f>IF(T23="","",$B23*'AEO 2018_Table 13'!U$16/'AEO 2018_Table 13'!$C$16)</f>
        <v/>
      </c>
      <c r="V23" s="191" t="str">
        <f>IF(U23="","",$B23*'AEO 2018_Table 13'!V$16/'AEO 2018_Table 13'!$C$16)</f>
        <v/>
      </c>
      <c r="W23" s="191" t="str">
        <f>IF(V23="","",$B23*'AEO 2018_Table 13'!W$16/'AEO 2018_Table 13'!$C$16)</f>
        <v/>
      </c>
      <c r="X23" s="191" t="str">
        <f>IF(W23="","",$B23*'AEO 2018_Table 13'!X$16/'AEO 2018_Table 13'!$C$16)</f>
        <v/>
      </c>
      <c r="Y23" s="191" t="str">
        <f>IF(X23="","",$B23*'AEO 2018_Table 13'!Y$16/'AEO 2018_Table 13'!$C$16)</f>
        <v/>
      </c>
      <c r="Z23" s="191" t="str">
        <f>IF(Y23="","",$B23*'AEO 2018_Table 13'!Z$16/'AEO 2018_Table 13'!$C$16)</f>
        <v/>
      </c>
      <c r="AA23" s="191" t="str">
        <f>IF(Z23="","",$B23*'AEO 2018_Table 13'!AA$16/'AEO 2018_Table 13'!$C$16)</f>
        <v/>
      </c>
      <c r="AB23" s="191" t="str">
        <f>IF(AA23="","",$B23*'AEO 2018_Table 13'!AB$16/'AEO 2018_Table 13'!$C$16)</f>
        <v/>
      </c>
      <c r="AC23" s="191" t="str">
        <f>IF(AB23="","",$B23*'AEO 2018_Table 13'!AC$16/'AEO 2018_Table 13'!$C$16)</f>
        <v/>
      </c>
      <c r="AD23" s="191" t="str">
        <f>IF(AC23="","",$B23*'AEO 2018_Table 13'!AD$16/'AEO 2018_Table 13'!$C$16)</f>
        <v/>
      </c>
      <c r="AE23" s="191" t="str">
        <f>IF(AD23="","",$B23*'AEO 2018_Table 13'!AE$16/'AEO 2018_Table 13'!$C$16)</f>
        <v/>
      </c>
      <c r="AF23" s="191" t="str">
        <f>IF(AE23="","",$B23*'AEO 2018_Table 13'!AF$16/'AEO 2018_Table 13'!$C$16)</f>
        <v/>
      </c>
      <c r="AG23" s="191" t="str">
        <f>IF(AF23="","",$B23*'AEO 2018_Table 13'!AG$16/'AEO 2018_Table 13'!$C$16)</f>
        <v/>
      </c>
      <c r="AH23" s="191" t="str">
        <f>IF(AG23="","",$B23*'AEO 2018_Table 13'!AH$16/'AEO 2018_Table 13'!$C$16)</f>
        <v/>
      </c>
      <c r="AI23" s="191" t="str">
        <f>IF(AH23="","",$B23*'AEO 2018_Table 13'!AI$16/'AEO 2018_Table 13'!$C$16)</f>
        <v/>
      </c>
      <c r="AJ23" s="191" t="str">
        <f>IF(AI23="","",$B23*'AEO 2018_Table 13'!AJ$16/'AEO 2018_Table 13'!$C$16)</f>
        <v/>
      </c>
      <c r="AK23" s="191" t="str">
        <f>IF(AJ23="","",$B23*'AEO 2018_Table 13'!AK$16/'AEO 2018_Table 13'!$C$16)</f>
        <v/>
      </c>
    </row>
    <row r="24" spans="1:37" x14ac:dyDescent="0.25">
      <c r="A24" s="192" t="s">
        <v>1184</v>
      </c>
      <c r="B24" s="193">
        <v>1968.2048008584004</v>
      </c>
      <c r="C24" s="193">
        <f>IF(B24="","",$B24*'AEO 2018_Table 13'!C$16/'AEO 2018_Table 13'!$C$16)</f>
        <v>1968.2048008584004</v>
      </c>
      <c r="D24" s="193">
        <f>IF(C24="","",$B24*'AEO 2018_Table 13'!D$16/'AEO 2018_Table 13'!$C$16)</f>
        <v>1979.8289194615807</v>
      </c>
      <c r="E24" s="193">
        <f>IF(D24="","",$B24*'AEO 2018_Table 13'!E$16/'AEO 2018_Table 13'!$C$16)</f>
        <v>2115.655778026975</v>
      </c>
      <c r="F24" s="193">
        <f>IF(E24="","",$B24*'AEO 2018_Table 13'!F$16/'AEO 2018_Table 13'!$C$16)</f>
        <v>2278.7534775432778</v>
      </c>
      <c r="G24" s="193">
        <f>IF(F24="","",$B24*'AEO 2018_Table 13'!G$16/'AEO 2018_Table 13'!$C$16)</f>
        <v>2386.2461817140374</v>
      </c>
      <c r="H24" s="193">
        <f>IF(G24="","",$B24*'AEO 2018_Table 13'!H$16/'AEO 2018_Table 13'!$C$16)</f>
        <v>2417.5331971403543</v>
      </c>
      <c r="I24" s="193">
        <f>IF(H24="","",$B24*'AEO 2018_Table 13'!I$16/'AEO 2018_Table 13'!$C$16)</f>
        <v>2472.6558511807239</v>
      </c>
      <c r="J24" s="193">
        <f>IF(I24="","",$B24*'AEO 2018_Table 13'!J$16/'AEO 2018_Table 13'!$C$16)</f>
        <v>2528.3752582929892</v>
      </c>
      <c r="K24" s="193">
        <f>IF(J24="","",$B24*'AEO 2018_Table 13'!K$16/'AEO 2018_Table 13'!$C$16)</f>
        <v>2570.1427860743993</v>
      </c>
      <c r="L24" s="193">
        <f>IF(K24="","",$B24*'AEO 2018_Table 13'!L$16/'AEO 2018_Table 13'!$C$16)</f>
        <v>2614.4527245008721</v>
      </c>
      <c r="M24" s="193">
        <f>IF(L24="","",$B24*'AEO 2018_Table 13'!M$16/'AEO 2018_Table 13'!$C$16)</f>
        <v>2647.3567011156292</v>
      </c>
      <c r="N24" s="193">
        <f>IF(M24="","",$B24*'AEO 2018_Table 13'!N$16/'AEO 2018_Table 13'!$C$16)</f>
        <v>2689.9213852103899</v>
      </c>
      <c r="O24" s="193">
        <f>IF(N24="","",$B24*'AEO 2018_Table 13'!O$16/'AEO 2018_Table 13'!$C$16)</f>
        <v>2728.733348744684</v>
      </c>
      <c r="P24" s="193">
        <f>IF(O24="","",$B24*'AEO 2018_Table 13'!P$16/'AEO 2018_Table 13'!$C$16)</f>
        <v>2751.6542777039722</v>
      </c>
      <c r="Q24" s="193">
        <f>IF(P24="","",$B24*'AEO 2018_Table 13'!Q$16/'AEO 2018_Table 13'!$C$16)</f>
        <v>2763.8061808555567</v>
      </c>
      <c r="R24" s="193">
        <f>IF(Q24="","",$B24*'AEO 2018_Table 13'!R$16/'AEO 2018_Table 13'!$C$16)</f>
        <v>2776.6139425191886</v>
      </c>
      <c r="S24" s="193">
        <f>IF(R24="","",$B24*'AEO 2018_Table 13'!S$16/'AEO 2018_Table 13'!$C$16)</f>
        <v>2784.823607790463</v>
      </c>
      <c r="T24" s="193">
        <f>IF(S24="","",$B24*'AEO 2018_Table 13'!T$16/'AEO 2018_Table 13'!$C$16)</f>
        <v>2794.5012651618326</v>
      </c>
      <c r="U24" s="193">
        <f>IF(T24="","",$B24*'AEO 2018_Table 13'!U$16/'AEO 2018_Table 13'!$C$16)</f>
        <v>2816.2004138050938</v>
      </c>
      <c r="V24" s="193">
        <f>IF(U24="","",$B24*'AEO 2018_Table 13'!V$16/'AEO 2018_Table 13'!$C$16)</f>
        <v>2828.9208689162151</v>
      </c>
      <c r="W24" s="193">
        <f>IF(V24="","",$B24*'AEO 2018_Table 13'!W$16/'AEO 2018_Table 13'!$C$16)</f>
        <v>2850.6097161168796</v>
      </c>
      <c r="X24" s="193">
        <f>IF(W24="","",$B24*'AEO 2018_Table 13'!X$16/'AEO 2018_Table 13'!$C$16)</f>
        <v>2876.7850242184895</v>
      </c>
      <c r="Y24" s="193">
        <f>IF(X24="","",$B24*'AEO 2018_Table 13'!Y$16/'AEO 2018_Table 13'!$C$16)</f>
        <v>2890.9960469315688</v>
      </c>
      <c r="Z24" s="193">
        <f>IF(Y24="","",$B24*'AEO 2018_Table 13'!Z$16/'AEO 2018_Table 13'!$C$16)</f>
        <v>2909.2922126435469</v>
      </c>
      <c r="AA24" s="193">
        <f>IF(Z24="","",$B24*'AEO 2018_Table 13'!AA$16/'AEO 2018_Table 13'!$C$16)</f>
        <v>2933.6988872529391</v>
      </c>
      <c r="AB24" s="193">
        <f>IF(AA24="","",$B24*'AEO 2018_Table 13'!AB$16/'AEO 2018_Table 13'!$C$16)</f>
        <v>2951.9078925321592</v>
      </c>
      <c r="AC24" s="193">
        <f>IF(AB24="","",$B24*'AEO 2018_Table 13'!AC$16/'AEO 2018_Table 13'!$C$16)</f>
        <v>2974.8753606328282</v>
      </c>
      <c r="AD24" s="193">
        <f>IF(AC24="","",$B24*'AEO 2018_Table 13'!AD$16/'AEO 2018_Table 13'!$C$16)</f>
        <v>2994.837583770307</v>
      </c>
      <c r="AE24" s="193">
        <f>IF(AD24="","",$B24*'AEO 2018_Table 13'!AE$16/'AEO 2018_Table 13'!$C$16)</f>
        <v>3014.1282405222755</v>
      </c>
      <c r="AF24" s="193">
        <f>IF(AE24="","",$B24*'AEO 2018_Table 13'!AF$16/'AEO 2018_Table 13'!$C$16)</f>
        <v>3029.2781557092676</v>
      </c>
      <c r="AG24" s="193">
        <f>IF(AF24="","",$B24*'AEO 2018_Table 13'!AG$16/'AEO 2018_Table 13'!$C$16)</f>
        <v>3050.9903820704371</v>
      </c>
      <c r="AH24" s="193">
        <f>IF(AG24="","",$B24*'AEO 2018_Table 13'!AH$16/'AEO 2018_Table 13'!$C$16)</f>
        <v>3074.0102341026127</v>
      </c>
      <c r="AI24" s="193">
        <f>IF(AH24="","",$B24*'AEO 2018_Table 13'!AI$16/'AEO 2018_Table 13'!$C$16)</f>
        <v>3097.7028945382012</v>
      </c>
      <c r="AJ24" s="193">
        <f>IF(AI24="","",$B24*'AEO 2018_Table 13'!AJ$16/'AEO 2018_Table 13'!$C$16)</f>
        <v>3112.3402946909937</v>
      </c>
      <c r="AK24" s="193">
        <f>IF(AJ24="","",$B24*'AEO 2018_Table 13'!AK$16/'AEO 2018_Table 13'!$C$16)</f>
        <v>3140.0396318180356</v>
      </c>
    </row>
    <row r="25" spans="1:37" x14ac:dyDescent="0.25">
      <c r="A25" s="194" t="s">
        <v>1185</v>
      </c>
      <c r="B25" s="195">
        <v>161.55940802179492</v>
      </c>
      <c r="C25" s="195">
        <f>IF(B25="","",$B25*'AEO 2018_Table 13'!C$16/'AEO 2018_Table 13'!$C$16)</f>
        <v>161.55940802179492</v>
      </c>
      <c r="D25" s="195">
        <f>IF(C25="","",$B25*'AEO 2018_Table 13'!D$16/'AEO 2018_Table 13'!$C$16)</f>
        <v>162.51356976323862</v>
      </c>
      <c r="E25" s="195">
        <f>IF(D25="","",$B25*'AEO 2018_Table 13'!E$16/'AEO 2018_Table 13'!$C$16)</f>
        <v>173.66287031047571</v>
      </c>
      <c r="F25" s="195">
        <f>IF(E25="","",$B25*'AEO 2018_Table 13'!F$16/'AEO 2018_Table 13'!$C$16)</f>
        <v>187.05068837294479</v>
      </c>
      <c r="G25" s="195">
        <f>IF(F25="","",$B25*'AEO 2018_Table 13'!G$16/'AEO 2018_Table 13'!$C$16)</f>
        <v>195.87418968993975</v>
      </c>
      <c r="H25" s="195">
        <f>IF(G25="","",$B25*'AEO 2018_Table 13'!H$16/'AEO 2018_Table 13'!$C$16)</f>
        <v>198.44237349319027</v>
      </c>
      <c r="I25" s="195">
        <f>IF(H25="","",$B25*'AEO 2018_Table 13'!I$16/'AEO 2018_Table 13'!$C$16)</f>
        <v>202.96709742002366</v>
      </c>
      <c r="J25" s="195">
        <f>IF(I25="","",$B25*'AEO 2018_Table 13'!J$16/'AEO 2018_Table 13'!$C$16)</f>
        <v>207.54080561566309</v>
      </c>
      <c r="K25" s="195">
        <f>IF(J25="","",$B25*'AEO 2018_Table 13'!K$16/'AEO 2018_Table 13'!$C$16)</f>
        <v>210.96927863836657</v>
      </c>
      <c r="L25" s="195">
        <f>IF(K25="","",$B25*'AEO 2018_Table 13'!L$16/'AEO 2018_Table 13'!$C$16)</f>
        <v>214.60644455653778</v>
      </c>
      <c r="M25" s="195">
        <f>IF(L25="","",$B25*'AEO 2018_Table 13'!M$16/'AEO 2018_Table 13'!$C$16)</f>
        <v>217.3073560577823</v>
      </c>
      <c r="N25" s="195">
        <f>IF(M25="","",$B25*'AEO 2018_Table 13'!N$16/'AEO 2018_Table 13'!$C$16)</f>
        <v>220.80126337981761</v>
      </c>
      <c r="O25" s="195">
        <f>IF(N25="","",$B25*'AEO 2018_Table 13'!O$16/'AEO 2018_Table 13'!$C$16)</f>
        <v>223.98712993701196</v>
      </c>
      <c r="P25" s="195">
        <f>IF(O25="","",$B25*'AEO 2018_Table 13'!P$16/'AEO 2018_Table 13'!$C$16)</f>
        <v>225.86858643602926</v>
      </c>
      <c r="Q25" s="195">
        <f>IF(P25="","",$B25*'AEO 2018_Table 13'!Q$16/'AEO 2018_Table 13'!$C$16)</f>
        <v>226.8660711889635</v>
      </c>
      <c r="R25" s="195">
        <f>IF(Q25="","",$B25*'AEO 2018_Table 13'!R$16/'AEO 2018_Table 13'!$C$16)</f>
        <v>227.9173918602464</v>
      </c>
      <c r="S25" s="195">
        <f>IF(R25="","",$B25*'AEO 2018_Table 13'!S$16/'AEO 2018_Table 13'!$C$16)</f>
        <v>228.59127938491133</v>
      </c>
      <c r="T25" s="195">
        <f>IF(S25="","",$B25*'AEO 2018_Table 13'!T$16/'AEO 2018_Table 13'!$C$16)</f>
        <v>229.38566653165256</v>
      </c>
      <c r="U25" s="195">
        <f>IF(T25="","",$B25*'AEO 2018_Table 13'!U$16/'AEO 2018_Table 13'!$C$16)</f>
        <v>231.16683361744225</v>
      </c>
      <c r="V25" s="195">
        <f>IF(U25="","",$B25*'AEO 2018_Table 13'!V$16/'AEO 2018_Table 13'!$C$16)</f>
        <v>232.2109877606616</v>
      </c>
      <c r="W25" s="195">
        <f>IF(V25="","",$B25*'AEO 2018_Table 13'!W$16/'AEO 2018_Table 13'!$C$16)</f>
        <v>233.99130925611078</v>
      </c>
      <c r="X25" s="195">
        <f>IF(W25="","",$B25*'AEO 2018_Table 13'!X$16/'AEO 2018_Table 13'!$C$16)</f>
        <v>236.13990033760794</v>
      </c>
      <c r="Y25" s="195">
        <f>IF(X25="","",$B25*'AEO 2018_Table 13'!Y$16/'AEO 2018_Table 13'!$C$16)</f>
        <v>237.30640720513918</v>
      </c>
      <c r="Z25" s="195">
        <f>IF(Y25="","",$B25*'AEO 2018_Table 13'!Z$16/'AEO 2018_Table 13'!$C$16)</f>
        <v>238.80824161800453</v>
      </c>
      <c r="AA25" s="195">
        <f>IF(Z25="","",$B25*'AEO 2018_Table 13'!AA$16/'AEO 2018_Table 13'!$C$16)</f>
        <v>240.81165503308929</v>
      </c>
      <c r="AB25" s="195">
        <f>IF(AA25="","",$B25*'AEO 2018_Table 13'!AB$16/'AEO 2018_Table 13'!$C$16)</f>
        <v>242.3063349120803</v>
      </c>
      <c r="AC25" s="195">
        <f>IF(AB25="","",$B25*'AEO 2018_Table 13'!AC$16/'AEO 2018_Table 13'!$C$16)</f>
        <v>244.19161156036668</v>
      </c>
      <c r="AD25" s="195">
        <f>IF(AC25="","",$B25*'AEO 2018_Table 13'!AD$16/'AEO 2018_Table 13'!$C$16)</f>
        <v>245.83020371880647</v>
      </c>
      <c r="AE25" s="195">
        <f>IF(AD25="","",$B25*'AEO 2018_Table 13'!AE$16/'AEO 2018_Table 13'!$C$16)</f>
        <v>247.41367058355567</v>
      </c>
      <c r="AF25" s="195">
        <f>IF(AE25="","",$B25*'AEO 2018_Table 13'!AF$16/'AEO 2018_Table 13'!$C$16)</f>
        <v>248.65724611396971</v>
      </c>
      <c r="AG25" s="195">
        <f>IF(AF25="","",$B25*'AEO 2018_Table 13'!AG$16/'AEO 2018_Table 13'!$C$16)</f>
        <v>250.43948667969534</v>
      </c>
      <c r="AH25" s="195">
        <f>IF(AG25="","",$B25*'AEO 2018_Table 13'!AH$16/'AEO 2018_Table 13'!$C$16)</f>
        <v>252.32906324481979</v>
      </c>
      <c r="AI25" s="195">
        <f>IF(AH25="","",$B25*'AEO 2018_Table 13'!AI$16/'AEO 2018_Table 13'!$C$16)</f>
        <v>254.27386705424334</v>
      </c>
      <c r="AJ25" s="195">
        <f>IF(AI25="","",$B25*'AEO 2018_Table 13'!AJ$16/'AEO 2018_Table 13'!$C$16)</f>
        <v>255.47537296594115</v>
      </c>
      <c r="AK25" s="195">
        <f>IF(AJ25="","",$B25*'AEO 2018_Table 13'!AK$16/'AEO 2018_Table 13'!$C$16)</f>
        <v>257.74906344108342</v>
      </c>
    </row>
    <row r="26" spans="1:37" x14ac:dyDescent="0.25">
      <c r="A26" s="186" t="s">
        <v>1186</v>
      </c>
      <c r="B26" s="188"/>
      <c r="C26" s="188" t="str">
        <f>IF(B26="","",$B26*'AEO 2018_Table 13'!C$16/'AEO 2018_Table 13'!$C$16)</f>
        <v/>
      </c>
      <c r="D26" s="188" t="str">
        <f>IF(C26="","",$B26*'AEO 2018_Table 13'!D$16/'AEO 2018_Table 13'!$C$16)</f>
        <v/>
      </c>
      <c r="E26" s="188" t="str">
        <f>IF(D26="","",$B26*'AEO 2018_Table 13'!E$16/'AEO 2018_Table 13'!$C$16)</f>
        <v/>
      </c>
      <c r="F26" s="188" t="str">
        <f>IF(E26="","",$B26*'AEO 2018_Table 13'!F$16/'AEO 2018_Table 13'!$C$16)</f>
        <v/>
      </c>
      <c r="G26" s="188" t="str">
        <f>IF(F26="","",$B26*'AEO 2018_Table 13'!G$16/'AEO 2018_Table 13'!$C$16)</f>
        <v/>
      </c>
      <c r="H26" s="188" t="str">
        <f>IF(G26="","",$B26*'AEO 2018_Table 13'!H$16/'AEO 2018_Table 13'!$C$16)</f>
        <v/>
      </c>
      <c r="I26" s="188" t="str">
        <f>IF(H26="","",$B26*'AEO 2018_Table 13'!I$16/'AEO 2018_Table 13'!$C$16)</f>
        <v/>
      </c>
      <c r="J26" s="188" t="str">
        <f>IF(I26="","",$B26*'AEO 2018_Table 13'!J$16/'AEO 2018_Table 13'!$C$16)</f>
        <v/>
      </c>
      <c r="K26" s="188" t="str">
        <f>IF(J26="","",$B26*'AEO 2018_Table 13'!K$16/'AEO 2018_Table 13'!$C$16)</f>
        <v/>
      </c>
      <c r="L26" s="188" t="str">
        <f>IF(K26="","",$B26*'AEO 2018_Table 13'!L$16/'AEO 2018_Table 13'!$C$16)</f>
        <v/>
      </c>
      <c r="M26" s="188" t="str">
        <f>IF(L26="","",$B26*'AEO 2018_Table 13'!M$16/'AEO 2018_Table 13'!$C$16)</f>
        <v/>
      </c>
      <c r="N26" s="188" t="str">
        <f>IF(M26="","",$B26*'AEO 2018_Table 13'!N$16/'AEO 2018_Table 13'!$C$16)</f>
        <v/>
      </c>
      <c r="O26" s="188" t="str">
        <f>IF(N26="","",$B26*'AEO 2018_Table 13'!O$16/'AEO 2018_Table 13'!$C$16)</f>
        <v/>
      </c>
      <c r="P26" s="188" t="str">
        <f>IF(O26="","",$B26*'AEO 2018_Table 13'!P$16/'AEO 2018_Table 13'!$C$16)</f>
        <v/>
      </c>
      <c r="Q26" s="188" t="str">
        <f>IF(P26="","",$B26*'AEO 2018_Table 13'!Q$16/'AEO 2018_Table 13'!$C$16)</f>
        <v/>
      </c>
      <c r="R26" s="188" t="str">
        <f>IF(Q26="","",$B26*'AEO 2018_Table 13'!R$16/'AEO 2018_Table 13'!$C$16)</f>
        <v/>
      </c>
      <c r="S26" s="188" t="str">
        <f>IF(R26="","",$B26*'AEO 2018_Table 13'!S$16/'AEO 2018_Table 13'!$C$16)</f>
        <v/>
      </c>
      <c r="T26" s="188" t="str">
        <f>IF(S26="","",$B26*'AEO 2018_Table 13'!T$16/'AEO 2018_Table 13'!$C$16)</f>
        <v/>
      </c>
      <c r="U26" s="188" t="str">
        <f>IF(T26="","",$B26*'AEO 2018_Table 13'!U$16/'AEO 2018_Table 13'!$C$16)</f>
        <v/>
      </c>
      <c r="V26" s="188" t="str">
        <f>IF(U26="","",$B26*'AEO 2018_Table 13'!V$16/'AEO 2018_Table 13'!$C$16)</f>
        <v/>
      </c>
      <c r="W26" s="188" t="str">
        <f>IF(V26="","",$B26*'AEO 2018_Table 13'!W$16/'AEO 2018_Table 13'!$C$16)</f>
        <v/>
      </c>
      <c r="X26" s="188" t="str">
        <f>IF(W26="","",$B26*'AEO 2018_Table 13'!X$16/'AEO 2018_Table 13'!$C$16)</f>
        <v/>
      </c>
      <c r="Y26" s="188" t="str">
        <f>IF(X26="","",$B26*'AEO 2018_Table 13'!Y$16/'AEO 2018_Table 13'!$C$16)</f>
        <v/>
      </c>
      <c r="Z26" s="188" t="str">
        <f>IF(Y26="","",$B26*'AEO 2018_Table 13'!Z$16/'AEO 2018_Table 13'!$C$16)</f>
        <v/>
      </c>
      <c r="AA26" s="188" t="str">
        <f>IF(Z26="","",$B26*'AEO 2018_Table 13'!AA$16/'AEO 2018_Table 13'!$C$16)</f>
        <v/>
      </c>
      <c r="AB26" s="188" t="str">
        <f>IF(AA26="","",$B26*'AEO 2018_Table 13'!AB$16/'AEO 2018_Table 13'!$C$16)</f>
        <v/>
      </c>
      <c r="AC26" s="188" t="str">
        <f>IF(AB26="","",$B26*'AEO 2018_Table 13'!AC$16/'AEO 2018_Table 13'!$C$16)</f>
        <v/>
      </c>
      <c r="AD26" s="188" t="str">
        <f>IF(AC26="","",$B26*'AEO 2018_Table 13'!AD$16/'AEO 2018_Table 13'!$C$16)</f>
        <v/>
      </c>
      <c r="AE26" s="188" t="str">
        <f>IF(AD26="","",$B26*'AEO 2018_Table 13'!AE$16/'AEO 2018_Table 13'!$C$16)</f>
        <v/>
      </c>
      <c r="AF26" s="188" t="str">
        <f>IF(AE26="","",$B26*'AEO 2018_Table 13'!AF$16/'AEO 2018_Table 13'!$C$16)</f>
        <v/>
      </c>
      <c r="AG26" s="188" t="str">
        <f>IF(AF26="","",$B26*'AEO 2018_Table 13'!AG$16/'AEO 2018_Table 13'!$C$16)</f>
        <v/>
      </c>
      <c r="AH26" s="188" t="str">
        <f>IF(AG26="","",$B26*'AEO 2018_Table 13'!AH$16/'AEO 2018_Table 13'!$C$16)</f>
        <v/>
      </c>
      <c r="AI26" s="188" t="str">
        <f>IF(AH26="","",$B26*'AEO 2018_Table 13'!AI$16/'AEO 2018_Table 13'!$C$16)</f>
        <v/>
      </c>
      <c r="AJ26" s="188" t="str">
        <f>IF(AI26="","",$B26*'AEO 2018_Table 13'!AJ$16/'AEO 2018_Table 13'!$C$16)</f>
        <v/>
      </c>
      <c r="AK26" s="188" t="str">
        <f>IF(AJ26="","",$B26*'AEO 2018_Table 13'!AK$16/'AEO 2018_Table 13'!$C$16)</f>
        <v/>
      </c>
    </row>
    <row r="27" spans="1:37" x14ac:dyDescent="0.25">
      <c r="A27" s="197" t="s">
        <v>1187</v>
      </c>
      <c r="B27" s="191"/>
      <c r="C27" s="191" t="str">
        <f>IF(B27="","",$B27*'AEO 2018_Table 13'!C$16/'AEO 2018_Table 13'!$C$16)</f>
        <v/>
      </c>
      <c r="D27" s="191" t="str">
        <f>IF(C27="","",$B27*'AEO 2018_Table 13'!D$16/'AEO 2018_Table 13'!$C$16)</f>
        <v/>
      </c>
      <c r="E27" s="191" t="str">
        <f>IF(D27="","",$B27*'AEO 2018_Table 13'!E$16/'AEO 2018_Table 13'!$C$16)</f>
        <v/>
      </c>
      <c r="F27" s="191" t="str">
        <f>IF(E27="","",$B27*'AEO 2018_Table 13'!F$16/'AEO 2018_Table 13'!$C$16)</f>
        <v/>
      </c>
      <c r="G27" s="191" t="str">
        <f>IF(F27="","",$B27*'AEO 2018_Table 13'!G$16/'AEO 2018_Table 13'!$C$16)</f>
        <v/>
      </c>
      <c r="H27" s="191" t="str">
        <f>IF(G27="","",$B27*'AEO 2018_Table 13'!H$16/'AEO 2018_Table 13'!$C$16)</f>
        <v/>
      </c>
      <c r="I27" s="191" t="str">
        <f>IF(H27="","",$B27*'AEO 2018_Table 13'!I$16/'AEO 2018_Table 13'!$C$16)</f>
        <v/>
      </c>
      <c r="J27" s="191" t="str">
        <f>IF(I27="","",$B27*'AEO 2018_Table 13'!J$16/'AEO 2018_Table 13'!$C$16)</f>
        <v/>
      </c>
      <c r="K27" s="191" t="str">
        <f>IF(J27="","",$B27*'AEO 2018_Table 13'!K$16/'AEO 2018_Table 13'!$C$16)</f>
        <v/>
      </c>
      <c r="L27" s="191" t="str">
        <f>IF(K27="","",$B27*'AEO 2018_Table 13'!L$16/'AEO 2018_Table 13'!$C$16)</f>
        <v/>
      </c>
      <c r="M27" s="191" t="str">
        <f>IF(L27="","",$B27*'AEO 2018_Table 13'!M$16/'AEO 2018_Table 13'!$C$16)</f>
        <v/>
      </c>
      <c r="N27" s="191" t="str">
        <f>IF(M27="","",$B27*'AEO 2018_Table 13'!N$16/'AEO 2018_Table 13'!$C$16)</f>
        <v/>
      </c>
      <c r="O27" s="191" t="str">
        <f>IF(N27="","",$B27*'AEO 2018_Table 13'!O$16/'AEO 2018_Table 13'!$C$16)</f>
        <v/>
      </c>
      <c r="P27" s="191" t="str">
        <f>IF(O27="","",$B27*'AEO 2018_Table 13'!P$16/'AEO 2018_Table 13'!$C$16)</f>
        <v/>
      </c>
      <c r="Q27" s="191" t="str">
        <f>IF(P27="","",$B27*'AEO 2018_Table 13'!Q$16/'AEO 2018_Table 13'!$C$16)</f>
        <v/>
      </c>
      <c r="R27" s="191" t="str">
        <f>IF(Q27="","",$B27*'AEO 2018_Table 13'!R$16/'AEO 2018_Table 13'!$C$16)</f>
        <v/>
      </c>
      <c r="S27" s="191" t="str">
        <f>IF(R27="","",$B27*'AEO 2018_Table 13'!S$16/'AEO 2018_Table 13'!$C$16)</f>
        <v/>
      </c>
      <c r="T27" s="191" t="str">
        <f>IF(S27="","",$B27*'AEO 2018_Table 13'!T$16/'AEO 2018_Table 13'!$C$16)</f>
        <v/>
      </c>
      <c r="U27" s="191" t="str">
        <f>IF(T27="","",$B27*'AEO 2018_Table 13'!U$16/'AEO 2018_Table 13'!$C$16)</f>
        <v/>
      </c>
      <c r="V27" s="191" t="str">
        <f>IF(U27="","",$B27*'AEO 2018_Table 13'!V$16/'AEO 2018_Table 13'!$C$16)</f>
        <v/>
      </c>
      <c r="W27" s="191" t="str">
        <f>IF(V27="","",$B27*'AEO 2018_Table 13'!W$16/'AEO 2018_Table 13'!$C$16)</f>
        <v/>
      </c>
      <c r="X27" s="191" t="str">
        <f>IF(W27="","",$B27*'AEO 2018_Table 13'!X$16/'AEO 2018_Table 13'!$C$16)</f>
        <v/>
      </c>
      <c r="Y27" s="191" t="str">
        <f>IF(X27="","",$B27*'AEO 2018_Table 13'!Y$16/'AEO 2018_Table 13'!$C$16)</f>
        <v/>
      </c>
      <c r="Z27" s="191" t="str">
        <f>IF(Y27="","",$B27*'AEO 2018_Table 13'!Z$16/'AEO 2018_Table 13'!$C$16)</f>
        <v/>
      </c>
      <c r="AA27" s="191" t="str">
        <f>IF(Z27="","",$B27*'AEO 2018_Table 13'!AA$16/'AEO 2018_Table 13'!$C$16)</f>
        <v/>
      </c>
      <c r="AB27" s="191" t="str">
        <f>IF(AA27="","",$B27*'AEO 2018_Table 13'!AB$16/'AEO 2018_Table 13'!$C$16)</f>
        <v/>
      </c>
      <c r="AC27" s="191" t="str">
        <f>IF(AB27="","",$B27*'AEO 2018_Table 13'!AC$16/'AEO 2018_Table 13'!$C$16)</f>
        <v/>
      </c>
      <c r="AD27" s="191" t="str">
        <f>IF(AC27="","",$B27*'AEO 2018_Table 13'!AD$16/'AEO 2018_Table 13'!$C$16)</f>
        <v/>
      </c>
      <c r="AE27" s="191" t="str">
        <f>IF(AD27="","",$B27*'AEO 2018_Table 13'!AE$16/'AEO 2018_Table 13'!$C$16)</f>
        <v/>
      </c>
      <c r="AF27" s="191" t="str">
        <f>IF(AE27="","",$B27*'AEO 2018_Table 13'!AF$16/'AEO 2018_Table 13'!$C$16)</f>
        <v/>
      </c>
      <c r="AG27" s="191" t="str">
        <f>IF(AF27="","",$B27*'AEO 2018_Table 13'!AG$16/'AEO 2018_Table 13'!$C$16)</f>
        <v/>
      </c>
      <c r="AH27" s="191" t="str">
        <f>IF(AG27="","",$B27*'AEO 2018_Table 13'!AH$16/'AEO 2018_Table 13'!$C$16)</f>
        <v/>
      </c>
      <c r="AI27" s="191" t="str">
        <f>IF(AH27="","",$B27*'AEO 2018_Table 13'!AI$16/'AEO 2018_Table 13'!$C$16)</f>
        <v/>
      </c>
      <c r="AJ27" s="191" t="str">
        <f>IF(AI27="","",$B27*'AEO 2018_Table 13'!AJ$16/'AEO 2018_Table 13'!$C$16)</f>
        <v/>
      </c>
      <c r="AK27" s="191" t="str">
        <f>IF(AJ27="","",$B27*'AEO 2018_Table 13'!AK$16/'AEO 2018_Table 13'!$C$16)</f>
        <v/>
      </c>
    </row>
    <row r="28" spans="1:37" x14ac:dyDescent="0.25">
      <c r="A28" s="198" t="s">
        <v>1188</v>
      </c>
      <c r="B28" s="199">
        <v>1.1389996211173908E-2</v>
      </c>
      <c r="C28" s="199">
        <f>IF(B28="","",$B28*'AEO 2018_Table 13'!C$16/'AEO 2018_Table 13'!$C$16)</f>
        <v>1.1389996211173908E-2</v>
      </c>
      <c r="D28" s="199">
        <f>IF(C28="","",$B28*'AEO 2018_Table 13'!D$16/'AEO 2018_Table 13'!$C$16)</f>
        <v>1.1457264956169709E-2</v>
      </c>
      <c r="E28" s="199">
        <f>IF(D28="","",$B28*'AEO 2018_Table 13'!E$16/'AEO 2018_Table 13'!$C$16)</f>
        <v>1.2243294643609133E-2</v>
      </c>
      <c r="F28" s="199">
        <f>IF(E28="","",$B28*'AEO 2018_Table 13'!F$16/'AEO 2018_Table 13'!$C$16)</f>
        <v>1.3187140618749357E-2</v>
      </c>
      <c r="G28" s="199">
        <f>IF(F28="","",$B28*'AEO 2018_Table 13'!G$16/'AEO 2018_Table 13'!$C$16)</f>
        <v>1.3809200626274902E-2</v>
      </c>
      <c r="H28" s="199">
        <f>IF(G28="","",$B28*'AEO 2018_Table 13'!H$16/'AEO 2018_Table 13'!$C$16)</f>
        <v>1.3990258505520631E-2</v>
      </c>
      <c r="I28" s="199">
        <f>IF(H28="","",$B28*'AEO 2018_Table 13'!I$16/'AEO 2018_Table 13'!$C$16)</f>
        <v>1.4309253165220597E-2</v>
      </c>
      <c r="J28" s="199">
        <f>IF(I28="","",$B28*'AEO 2018_Table 13'!J$16/'AEO 2018_Table 13'!$C$16)</f>
        <v>1.4631701233440311E-2</v>
      </c>
      <c r="K28" s="199">
        <f>IF(J28="","",$B28*'AEO 2018_Table 13'!K$16/'AEO 2018_Table 13'!$C$16)</f>
        <v>1.4873409811212745E-2</v>
      </c>
      <c r="L28" s="199">
        <f>IF(K28="","",$B28*'AEO 2018_Table 13'!L$16/'AEO 2018_Table 13'!$C$16)</f>
        <v>1.5129831312966406E-2</v>
      </c>
      <c r="M28" s="199">
        <f>IF(L28="","",$B28*'AEO 2018_Table 13'!M$16/'AEO 2018_Table 13'!$C$16)</f>
        <v>1.5320246542525433E-2</v>
      </c>
      <c r="N28" s="199">
        <f>IF(M28="","",$B28*'AEO 2018_Table 13'!N$16/'AEO 2018_Table 13'!$C$16)</f>
        <v>1.5566568261869728E-2</v>
      </c>
      <c r="O28" s="199">
        <f>IF(N28="","",$B28*'AEO 2018_Table 13'!O$16/'AEO 2018_Table 13'!$C$16)</f>
        <v>1.5791172996809426E-2</v>
      </c>
      <c r="P28" s="199">
        <f>IF(O28="","",$B28*'AEO 2018_Table 13'!P$16/'AEO 2018_Table 13'!$C$16)</f>
        <v>1.5923816354801952E-2</v>
      </c>
      <c r="Q28" s="199">
        <f>IF(P28="","",$B28*'AEO 2018_Table 13'!Q$16/'AEO 2018_Table 13'!$C$16)</f>
        <v>1.5994139387646267E-2</v>
      </c>
      <c r="R28" s="199">
        <f>IF(Q28="","",$B28*'AEO 2018_Table 13'!R$16/'AEO 2018_Table 13'!$C$16)</f>
        <v>1.6068257872043197E-2</v>
      </c>
      <c r="S28" s="199">
        <f>IF(R28="","",$B28*'AEO 2018_Table 13'!S$16/'AEO 2018_Table 13'!$C$16)</f>
        <v>1.6115767184231661E-2</v>
      </c>
      <c r="T28" s="199">
        <f>IF(S28="","",$B28*'AEO 2018_Table 13'!T$16/'AEO 2018_Table 13'!$C$16)</f>
        <v>1.617177176299545E-2</v>
      </c>
      <c r="U28" s="199">
        <f>IF(T28="","",$B28*'AEO 2018_Table 13'!U$16/'AEO 2018_Table 13'!$C$16)</f>
        <v>1.6297344681385172E-2</v>
      </c>
      <c r="V28" s="199">
        <f>IF(U28="","",$B28*'AEO 2018_Table 13'!V$16/'AEO 2018_Table 13'!$C$16)</f>
        <v>1.6370957922983244E-2</v>
      </c>
      <c r="W28" s="199">
        <f>IF(V28="","",$B28*'AEO 2018_Table 13'!W$16/'AEO 2018_Table 13'!$C$16)</f>
        <v>1.6496471226950676E-2</v>
      </c>
      <c r="X28" s="199">
        <f>IF(W28="","",$B28*'AEO 2018_Table 13'!X$16/'AEO 2018_Table 13'!$C$16)</f>
        <v>1.6647947668819742E-2</v>
      </c>
      <c r="Y28" s="199">
        <f>IF(X28="","",$B28*'AEO 2018_Table 13'!Y$16/'AEO 2018_Table 13'!$C$16)</f>
        <v>1.6730186821365393E-2</v>
      </c>
      <c r="Z28" s="199">
        <f>IF(Y28="","",$B28*'AEO 2018_Table 13'!Z$16/'AEO 2018_Table 13'!$C$16)</f>
        <v>1.6836066686127207E-2</v>
      </c>
      <c r="AA28" s="199">
        <f>IF(Z28="","",$B28*'AEO 2018_Table 13'!AA$16/'AEO 2018_Table 13'!$C$16)</f>
        <v>1.6977308050444121E-2</v>
      </c>
      <c r="AB28" s="199">
        <f>IF(AA28="","",$B28*'AEO 2018_Table 13'!AB$16/'AEO 2018_Table 13'!$C$16)</f>
        <v>1.7082683518001719E-2</v>
      </c>
      <c r="AC28" s="199">
        <f>IF(AB28="","",$B28*'AEO 2018_Table 13'!AC$16/'AEO 2018_Table 13'!$C$16)</f>
        <v>1.7215596197887865E-2</v>
      </c>
      <c r="AD28" s="199">
        <f>IF(AC28="","",$B28*'AEO 2018_Table 13'!AD$16/'AEO 2018_Table 13'!$C$16)</f>
        <v>1.7331117532762841E-2</v>
      </c>
      <c r="AE28" s="199">
        <f>IF(AD28="","",$B28*'AEO 2018_Table 13'!AE$16/'AEO 2018_Table 13'!$C$16)</f>
        <v>1.7442752514661139E-2</v>
      </c>
      <c r="AF28" s="199">
        <f>IF(AE28="","",$B28*'AEO 2018_Table 13'!AF$16/'AEO 2018_Table 13'!$C$16)</f>
        <v>1.7530425035581824E-2</v>
      </c>
      <c r="AG28" s="199">
        <f>IF(AF28="","",$B28*'AEO 2018_Table 13'!AG$16/'AEO 2018_Table 13'!$C$16)</f>
        <v>1.7656073634692047E-2</v>
      </c>
      <c r="AH28" s="199">
        <f>IF(AG28="","",$B28*'AEO 2018_Table 13'!AH$16/'AEO 2018_Table 13'!$C$16)</f>
        <v>1.7789289460257509E-2</v>
      </c>
      <c r="AI28" s="199">
        <f>IF(AH28="","",$B28*'AEO 2018_Table 13'!AI$16/'AEO 2018_Table 13'!$C$16)</f>
        <v>1.7926398826354113E-2</v>
      </c>
      <c r="AJ28" s="199">
        <f>IF(AI28="","",$B28*'AEO 2018_Table 13'!AJ$16/'AEO 2018_Table 13'!$C$16)</f>
        <v>1.801110542406642E-2</v>
      </c>
      <c r="AK28" s="199">
        <f>IF(AJ28="","",$B28*'AEO 2018_Table 13'!AK$16/'AEO 2018_Table 13'!$C$16)</f>
        <v>1.8171401418056191E-2</v>
      </c>
    </row>
    <row r="29" spans="1:37" x14ac:dyDescent="0.25">
      <c r="A29" s="201" t="s">
        <v>1189</v>
      </c>
      <c r="B29" s="202">
        <v>0.39510677409267625</v>
      </c>
      <c r="C29" s="202">
        <f>IF(B29="","",$B29*'AEO 2018_Table 13'!C$16/'AEO 2018_Table 13'!$C$16)</f>
        <v>0.39510677409267625</v>
      </c>
      <c r="D29" s="202">
        <f>IF(C29="","",$B29*'AEO 2018_Table 13'!D$16/'AEO 2018_Table 13'!$C$16)</f>
        <v>0.39744025483663648</v>
      </c>
      <c r="E29" s="202">
        <f>IF(D29="","",$B29*'AEO 2018_Table 13'!E$16/'AEO 2018_Table 13'!$C$16)</f>
        <v>0.42470678314685578</v>
      </c>
      <c r="F29" s="202">
        <f>IF(E29="","",$B29*'AEO 2018_Table 13'!F$16/'AEO 2018_Table 13'!$C$16)</f>
        <v>0.4574477895145459</v>
      </c>
      <c r="G29" s="202">
        <f>IF(F29="","",$B29*'AEO 2018_Table 13'!G$16/'AEO 2018_Table 13'!$C$16)</f>
        <v>0.47902638517943003</v>
      </c>
      <c r="H29" s="202">
        <f>IF(G29="","",$B29*'AEO 2018_Table 13'!H$16/'AEO 2018_Table 13'!$C$16)</f>
        <v>0.48530708916444643</v>
      </c>
      <c r="I29" s="202">
        <f>IF(H29="","",$B29*'AEO 2018_Table 13'!I$16/'AEO 2018_Table 13'!$C$16)</f>
        <v>0.49637267238414917</v>
      </c>
      <c r="J29" s="202">
        <f>IF(I29="","",$B29*'AEO 2018_Table 13'!J$16/'AEO 2018_Table 13'!$C$16)</f>
        <v>0.50755805064807891</v>
      </c>
      <c r="K29" s="202">
        <f>IF(J29="","",$B29*'AEO 2018_Table 13'!K$16/'AEO 2018_Table 13'!$C$16)</f>
        <v>0.51594266243052234</v>
      </c>
      <c r="L29" s="202">
        <f>IF(K29="","",$B29*'AEO 2018_Table 13'!L$16/'AEO 2018_Table 13'!$C$16)</f>
        <v>0.52483764979377512</v>
      </c>
      <c r="M29" s="202">
        <f>IF(L29="","",$B29*'AEO 2018_Table 13'!M$16/'AEO 2018_Table 13'!$C$16)</f>
        <v>0.53144295024289878</v>
      </c>
      <c r="N29" s="202">
        <f>IF(M29="","",$B29*'AEO 2018_Table 13'!N$16/'AEO 2018_Table 13'!$C$16)</f>
        <v>0.53998758696750182</v>
      </c>
      <c r="O29" s="202">
        <f>IF(N29="","",$B29*'AEO 2018_Table 13'!O$16/'AEO 2018_Table 13'!$C$16)</f>
        <v>0.54777888475396685</v>
      </c>
      <c r="P29" s="202">
        <f>IF(O29="","",$B29*'AEO 2018_Table 13'!P$16/'AEO 2018_Table 13'!$C$16)</f>
        <v>0.55238014083075404</v>
      </c>
      <c r="Q29" s="202">
        <f>IF(P29="","",$B29*'AEO 2018_Table 13'!Q$16/'AEO 2018_Table 13'!$C$16)</f>
        <v>0.55481957155016659</v>
      </c>
      <c r="R29" s="202">
        <f>IF(Q29="","",$B29*'AEO 2018_Table 13'!R$16/'AEO 2018_Table 13'!$C$16)</f>
        <v>0.55739066242041468</v>
      </c>
      <c r="S29" s="202">
        <f>IF(R29="","",$B29*'AEO 2018_Table 13'!S$16/'AEO 2018_Table 13'!$C$16)</f>
        <v>0.55903870959533231</v>
      </c>
      <c r="T29" s="202">
        <f>IF(S29="","",$B29*'AEO 2018_Table 13'!T$16/'AEO 2018_Table 13'!$C$16)</f>
        <v>0.56098144847245945</v>
      </c>
      <c r="U29" s="202">
        <f>IF(T29="","",$B29*'AEO 2018_Table 13'!U$16/'AEO 2018_Table 13'!$C$16)</f>
        <v>0.56533743856925089</v>
      </c>
      <c r="V29" s="202">
        <f>IF(U29="","",$B29*'AEO 2018_Table 13'!V$16/'AEO 2018_Table 13'!$C$16)</f>
        <v>0.56789100310773477</v>
      </c>
      <c r="W29" s="202">
        <f>IF(V29="","",$B29*'AEO 2018_Table 13'!W$16/'AEO 2018_Table 13'!$C$16)</f>
        <v>0.57224492524404191</v>
      </c>
      <c r="X29" s="202">
        <f>IF(W29="","",$B29*'AEO 2018_Table 13'!X$16/'AEO 2018_Table 13'!$C$16)</f>
        <v>0.57749948083723956</v>
      </c>
      <c r="Y29" s="202">
        <f>IF(X29="","",$B29*'AEO 2018_Table 13'!Y$16/'AEO 2018_Table 13'!$C$16)</f>
        <v>0.58035226899133496</v>
      </c>
      <c r="Z29" s="202">
        <f>IF(Y29="","",$B29*'AEO 2018_Table 13'!Z$16/'AEO 2018_Table 13'!$C$16)</f>
        <v>0.58402512814175067</v>
      </c>
      <c r="AA29" s="202">
        <f>IF(Z29="","",$B29*'AEO 2018_Table 13'!AA$16/'AEO 2018_Table 13'!$C$16)</f>
        <v>0.5889246398526462</v>
      </c>
      <c r="AB29" s="202">
        <f>IF(AA29="","",$B29*'AEO 2018_Table 13'!AB$16/'AEO 2018_Table 13'!$C$16)</f>
        <v>0.59258000200407035</v>
      </c>
      <c r="AC29" s="202">
        <f>IF(AB29="","",$B29*'AEO 2018_Table 13'!AC$16/'AEO 2018_Table 13'!$C$16)</f>
        <v>0.5971906005690033</v>
      </c>
      <c r="AD29" s="202">
        <f>IF(AC29="","",$B29*'AEO 2018_Table 13'!AD$16/'AEO 2018_Table 13'!$C$16)</f>
        <v>0.60119791199519612</v>
      </c>
      <c r="AE29" s="202">
        <f>IF(AD29="","",$B29*'AEO 2018_Table 13'!AE$16/'AEO 2018_Table 13'!$C$16)</f>
        <v>0.60507040999747463</v>
      </c>
      <c r="AF29" s="202">
        <f>IF(AE29="","",$B29*'AEO 2018_Table 13'!AF$16/'AEO 2018_Table 13'!$C$16)</f>
        <v>0.60811167588337212</v>
      </c>
      <c r="AG29" s="202">
        <f>IF(AF29="","",$B29*'AEO 2018_Table 13'!AG$16/'AEO 2018_Table 13'!$C$16)</f>
        <v>0.61247029126333175</v>
      </c>
      <c r="AH29" s="202">
        <f>IF(AG29="","",$B29*'AEO 2018_Table 13'!AH$16/'AEO 2018_Table 13'!$C$16)</f>
        <v>0.61709140562732301</v>
      </c>
      <c r="AI29" s="202">
        <f>IF(AH29="","",$B29*'AEO 2018_Table 13'!AI$16/'AEO 2018_Table 13'!$C$16)</f>
        <v>0.62184758274379792</v>
      </c>
      <c r="AJ29" s="202">
        <f>IF(AI29="","",$B29*'AEO 2018_Table 13'!AJ$16/'AEO 2018_Table 13'!$C$16)</f>
        <v>0.62478596392900354</v>
      </c>
      <c r="AK29" s="202">
        <f>IF(AJ29="","",$B29*'AEO 2018_Table 13'!AK$16/'AEO 2018_Table 13'!$C$16)</f>
        <v>0.63034646034279018</v>
      </c>
    </row>
    <row r="30" spans="1:37" x14ac:dyDescent="0.25">
      <c r="A30" s="201" t="s">
        <v>1190</v>
      </c>
      <c r="B30" s="202">
        <v>5.1252956250253341</v>
      </c>
      <c r="C30" s="202">
        <f>IF(B30="","",$B30*'AEO 2018_Table 13'!C$16/'AEO 2018_Table 13'!$C$16)</f>
        <v>5.1252956250253341</v>
      </c>
      <c r="D30" s="202">
        <f>IF(C30="","",$B30*'AEO 2018_Table 13'!D$16/'AEO 2018_Table 13'!$C$16)</f>
        <v>5.1555653633145972</v>
      </c>
      <c r="E30" s="202">
        <f>IF(D30="","",$B30*'AEO 2018_Table 13'!E$16/'AEO 2018_Table 13'!$C$16)</f>
        <v>5.5092647362978022</v>
      </c>
      <c r="F30" s="202">
        <f>IF(E30="","",$B30*'AEO 2018_Table 13'!F$16/'AEO 2018_Table 13'!$C$16)</f>
        <v>5.9339786306130842</v>
      </c>
      <c r="G30" s="202">
        <f>IF(F30="","",$B30*'AEO 2018_Table 13'!G$16/'AEO 2018_Table 13'!$C$16)</f>
        <v>6.213894565259853</v>
      </c>
      <c r="H30" s="202">
        <f>IF(G30="","",$B30*'AEO 2018_Table 13'!H$16/'AEO 2018_Table 13'!$C$16)</f>
        <v>6.29536738923359</v>
      </c>
      <c r="I30" s="202">
        <f>IF(H30="","",$B30*'AEO 2018_Table 13'!I$16/'AEO 2018_Table 13'!$C$16)</f>
        <v>6.4389093100081336</v>
      </c>
      <c r="J30" s="202">
        <f>IF(I30="","",$B30*'AEO 2018_Table 13'!J$16/'AEO 2018_Table 13'!$C$16)</f>
        <v>6.5840052031677008</v>
      </c>
      <c r="K30" s="202">
        <f>IF(J30="","",$B30*'AEO 2018_Table 13'!K$16/'AEO 2018_Table 13'!$C$16)</f>
        <v>6.6927697622790401</v>
      </c>
      <c r="L30" s="202">
        <f>IF(K30="","",$B30*'AEO 2018_Table 13'!L$16/'AEO 2018_Table 13'!$C$16)</f>
        <v>6.8081548753847994</v>
      </c>
      <c r="M30" s="202">
        <f>IF(L30="","",$B30*'AEO 2018_Table 13'!M$16/'AEO 2018_Table 13'!$C$16)</f>
        <v>6.8938383404977772</v>
      </c>
      <c r="N30" s="202">
        <f>IF(M30="","",$B30*'AEO 2018_Table 13'!N$16/'AEO 2018_Table 13'!$C$16)</f>
        <v>7.0046787312316665</v>
      </c>
      <c r="O30" s="202">
        <f>IF(N30="","",$B30*'AEO 2018_Table 13'!O$16/'AEO 2018_Table 13'!$C$16)</f>
        <v>7.1057468654086628</v>
      </c>
      <c r="P30" s="202">
        <f>IF(O30="","",$B30*'AEO 2018_Table 13'!P$16/'AEO 2018_Table 13'!$C$16)</f>
        <v>7.1654340162911909</v>
      </c>
      <c r="Q30" s="202">
        <f>IF(P30="","",$B30*'AEO 2018_Table 13'!Q$16/'AEO 2018_Table 13'!$C$16)</f>
        <v>7.1970781297652495</v>
      </c>
      <c r="R30" s="202">
        <f>IF(Q30="","",$B30*'AEO 2018_Table 13'!R$16/'AEO 2018_Table 13'!$C$16)</f>
        <v>7.230430128902916</v>
      </c>
      <c r="S30" s="202">
        <f>IF(R30="","",$B30*'AEO 2018_Table 13'!S$16/'AEO 2018_Table 13'!$C$16)</f>
        <v>7.2518084740219964</v>
      </c>
      <c r="T30" s="202">
        <f>IF(S30="","",$B30*'AEO 2018_Table 13'!T$16/'AEO 2018_Table 13'!$C$16)</f>
        <v>7.277009537937877</v>
      </c>
      <c r="U30" s="202">
        <f>IF(T30="","",$B30*'AEO 2018_Table 13'!U$16/'AEO 2018_Table 13'!$C$16)</f>
        <v>7.3335151168083188</v>
      </c>
      <c r="V30" s="202">
        <f>IF(U30="","",$B30*'AEO 2018_Table 13'!V$16/'AEO 2018_Table 13'!$C$16)</f>
        <v>7.3666397656766298</v>
      </c>
      <c r="W30" s="202">
        <f>IF(V30="","",$B30*'AEO 2018_Table 13'!W$16/'AEO 2018_Table 13'!$C$16)</f>
        <v>7.4231185191177982</v>
      </c>
      <c r="X30" s="202">
        <f>IF(W30="","",$B30*'AEO 2018_Table 13'!X$16/'AEO 2018_Table 13'!$C$16)</f>
        <v>7.4912802226348116</v>
      </c>
      <c r="Y30" s="202">
        <f>IF(X30="","",$B30*'AEO 2018_Table 13'!Y$16/'AEO 2018_Table 13'!$C$16)</f>
        <v>7.5282863779427931</v>
      </c>
      <c r="Z30" s="202">
        <f>IF(Y30="","",$B30*'AEO 2018_Table 13'!Z$16/'AEO 2018_Table 13'!$C$16)</f>
        <v>7.5759304330926662</v>
      </c>
      <c r="AA30" s="202">
        <f>IF(Z30="","",$B30*'AEO 2018_Table 13'!AA$16/'AEO 2018_Table 13'!$C$16)</f>
        <v>7.6394865338309517</v>
      </c>
      <c r="AB30" s="202">
        <f>IF(AA30="","",$B30*'AEO 2018_Table 13'!AB$16/'AEO 2018_Table 13'!$C$16)</f>
        <v>7.6869036192140117</v>
      </c>
      <c r="AC30" s="202">
        <f>IF(AB30="","",$B30*'AEO 2018_Table 13'!AC$16/'AEO 2018_Table 13'!$C$16)</f>
        <v>7.7467119601564409</v>
      </c>
      <c r="AD30" s="202">
        <f>IF(AC30="","",$B30*'AEO 2018_Table 13'!AD$16/'AEO 2018_Table 13'!$C$16)</f>
        <v>7.7986945052999541</v>
      </c>
      <c r="AE30" s="202">
        <f>IF(AD30="","",$B30*'AEO 2018_Table 13'!AE$16/'AEO 2018_Table 13'!$C$16)</f>
        <v>7.8489282607565043</v>
      </c>
      <c r="AF30" s="202">
        <f>IF(AE30="","",$B30*'AEO 2018_Table 13'!AF$16/'AEO 2018_Table 13'!$C$16)</f>
        <v>7.8883793351536058</v>
      </c>
      <c r="AG30" s="202">
        <f>IF(AF30="","",$B30*'AEO 2018_Table 13'!AG$16/'AEO 2018_Table 13'!$C$16)</f>
        <v>7.9449189690016313</v>
      </c>
      <c r="AH30" s="202">
        <f>IF(AG30="","",$B30*'AEO 2018_Table 13'!AH$16/'AEO 2018_Table 13'!$C$16)</f>
        <v>8.0048637201056732</v>
      </c>
      <c r="AI30" s="202">
        <f>IF(AH30="","",$B30*'AEO 2018_Table 13'!AI$16/'AEO 2018_Table 13'!$C$16)</f>
        <v>8.0665604951682965</v>
      </c>
      <c r="AJ30" s="202">
        <f>IF(AI30="","",$B30*'AEO 2018_Table 13'!AJ$16/'AEO 2018_Table 13'!$C$16)</f>
        <v>8.1046769568963324</v>
      </c>
      <c r="AK30" s="202">
        <f>IF(AJ30="","",$B30*'AEO 2018_Table 13'!AK$16/'AEO 2018_Table 13'!$C$16)</f>
        <v>8.1768073019353302</v>
      </c>
    </row>
    <row r="31" spans="1:37" x14ac:dyDescent="0.25">
      <c r="A31" s="201" t="s">
        <v>1191</v>
      </c>
      <c r="B31" s="202">
        <v>1.673219520319122</v>
      </c>
      <c r="C31" s="202">
        <f>IF(B31="","",$B31*'AEO 2018_Table 13'!C$16/'AEO 2018_Table 13'!$C$16)</f>
        <v>1.6732195203191222</v>
      </c>
      <c r="D31" s="202">
        <f>IF(C31="","",$B31*'AEO 2018_Table 13'!D$16/'AEO 2018_Table 13'!$C$16)</f>
        <v>1.683101470685701</v>
      </c>
      <c r="E31" s="202">
        <f>IF(D31="","",$B31*'AEO 2018_Table 13'!E$16/'AEO 2018_Table 13'!$C$16)</f>
        <v>1.7985712383827028</v>
      </c>
      <c r="F31" s="202">
        <f>IF(E31="","",$B31*'AEO 2018_Table 13'!F$16/'AEO 2018_Table 13'!$C$16)</f>
        <v>1.9372246216235121</v>
      </c>
      <c r="G31" s="202">
        <f>IF(F31="","",$B31*'AEO 2018_Table 13'!G$16/'AEO 2018_Table 13'!$C$16)</f>
        <v>2.0286068247519471</v>
      </c>
      <c r="H31" s="202">
        <f>IF(G31="","",$B31*'AEO 2018_Table 13'!H$16/'AEO 2018_Table 13'!$C$16)</f>
        <v>2.0552046894258913</v>
      </c>
      <c r="I31" s="202">
        <f>IF(H31="","",$B31*'AEO 2018_Table 13'!I$16/'AEO 2018_Table 13'!$C$16)</f>
        <v>2.1020658192798165</v>
      </c>
      <c r="J31" s="202">
        <f>IF(I31="","",$B31*'AEO 2018_Table 13'!J$16/'AEO 2018_Table 13'!$C$16)</f>
        <v>2.1494342636613104</v>
      </c>
      <c r="K31" s="202">
        <f>IF(J31="","",$B31*'AEO 2018_Table 13'!K$16/'AEO 2018_Table 13'!$C$16)</f>
        <v>2.1849418707806745</v>
      </c>
      <c r="L31" s="202">
        <f>IF(K31="","",$B31*'AEO 2018_Table 13'!L$16/'AEO 2018_Table 13'!$C$16)</f>
        <v>2.2226108439926988</v>
      </c>
      <c r="M31" s="202">
        <f>IF(L31="","",$B31*'AEO 2018_Table 13'!M$16/'AEO 2018_Table 13'!$C$16)</f>
        <v>2.2505833273155336</v>
      </c>
      <c r="N31" s="202">
        <f>IF(M31="","",$B31*'AEO 2018_Table 13'!N$16/'AEO 2018_Table 13'!$C$16)</f>
        <v>2.2867686167084407</v>
      </c>
      <c r="O31" s="202">
        <f>IF(N31="","",$B31*'AEO 2018_Table 13'!O$16/'AEO 2018_Table 13'!$C$16)</f>
        <v>2.3197636256522114</v>
      </c>
      <c r="P31" s="202">
        <f>IF(O31="","",$B31*'AEO 2018_Table 13'!P$16/'AEO 2018_Table 13'!$C$16)</f>
        <v>2.3392492735592798</v>
      </c>
      <c r="Q31" s="202">
        <f>IF(P31="","",$B31*'AEO 2018_Table 13'!Q$16/'AEO 2018_Table 13'!$C$16)</f>
        <v>2.3495799066079295</v>
      </c>
      <c r="R31" s="202">
        <f>IF(Q31="","",$B31*'AEO 2018_Table 13'!R$16/'AEO 2018_Table 13'!$C$16)</f>
        <v>2.3604681011788595</v>
      </c>
      <c r="S31" s="202">
        <f>IF(R31="","",$B31*'AEO 2018_Table 13'!S$16/'AEO 2018_Table 13'!$C$16)</f>
        <v>2.3674473404232663</v>
      </c>
      <c r="T31" s="202">
        <f>IF(S31="","",$B31*'AEO 2018_Table 13'!T$16/'AEO 2018_Table 13'!$C$16)</f>
        <v>2.3756745560146895</v>
      </c>
      <c r="U31" s="202">
        <f>IF(T31="","",$B31*'AEO 2018_Table 13'!U$16/'AEO 2018_Table 13'!$C$16)</f>
        <v>2.3941215382943679</v>
      </c>
      <c r="V31" s="202">
        <f>IF(U31="","",$B31*'AEO 2018_Table 13'!V$16/'AEO 2018_Table 13'!$C$16)</f>
        <v>2.4049355114083379</v>
      </c>
      <c r="W31" s="202">
        <f>IF(V31="","",$B31*'AEO 2018_Table 13'!W$16/'AEO 2018_Table 13'!$C$16)</f>
        <v>2.4233737361771945</v>
      </c>
      <c r="X31" s="202">
        <f>IF(W31="","",$B31*'AEO 2018_Table 13'!X$16/'AEO 2018_Table 13'!$C$16)</f>
        <v>2.4456260121836753</v>
      </c>
      <c r="Y31" s="202">
        <f>IF(X31="","",$B31*'AEO 2018_Table 13'!Y$16/'AEO 2018_Table 13'!$C$16)</f>
        <v>2.457707153636461</v>
      </c>
      <c r="Z31" s="202">
        <f>IF(Y31="","",$B31*'AEO 2018_Table 13'!Z$16/'AEO 2018_Table 13'!$C$16)</f>
        <v>2.4732611760648813</v>
      </c>
      <c r="AA31" s="202">
        <f>IF(Z31="","",$B31*'AEO 2018_Table 13'!AA$16/'AEO 2018_Table 13'!$C$16)</f>
        <v>2.4940098930503809</v>
      </c>
      <c r="AB31" s="202">
        <f>IF(AA31="","",$B31*'AEO 2018_Table 13'!AB$16/'AEO 2018_Table 13'!$C$16)</f>
        <v>2.5094898182418532</v>
      </c>
      <c r="AC31" s="202">
        <f>IF(AB31="","",$B31*'AEO 2018_Table 13'!AC$16/'AEO 2018_Table 13'!$C$16)</f>
        <v>2.5290150302226313</v>
      </c>
      <c r="AD31" s="202">
        <f>IF(AC31="","",$B31*'AEO 2018_Table 13'!AD$16/'AEO 2018_Table 13'!$C$16)</f>
        <v>2.5459854092238556</v>
      </c>
      <c r="AE31" s="202">
        <f>IF(AD31="","",$B31*'AEO 2018_Table 13'!AE$16/'AEO 2018_Table 13'!$C$16)</f>
        <v>2.5623848730515482</v>
      </c>
      <c r="AF31" s="202">
        <f>IF(AE31="","",$B31*'AEO 2018_Table 13'!AF$16/'AEO 2018_Table 13'!$C$16)</f>
        <v>2.5752641901891757</v>
      </c>
      <c r="AG31" s="202">
        <f>IF(AF31="","",$B31*'AEO 2018_Table 13'!AG$16/'AEO 2018_Table 13'!$C$16)</f>
        <v>2.5937222901598957</v>
      </c>
      <c r="AH31" s="202">
        <f>IF(AG31="","",$B31*'AEO 2018_Table 13'!AH$16/'AEO 2018_Table 13'!$C$16)</f>
        <v>2.6132920350148492</v>
      </c>
      <c r="AI31" s="202">
        <f>IF(AH31="","",$B31*'AEO 2018_Table 13'!AI$16/'AEO 2018_Table 13'!$C$16)</f>
        <v>2.6334337509134333</v>
      </c>
      <c r="AJ31" s="202">
        <f>IF(AI31="","",$B31*'AEO 2018_Table 13'!AJ$16/'AEO 2018_Table 13'!$C$16)</f>
        <v>2.6458773663602071</v>
      </c>
      <c r="AK31" s="202">
        <f>IF(AJ31="","",$B31*'AEO 2018_Table 13'!AK$16/'AEO 2018_Table 13'!$C$16)</f>
        <v>2.6694252570881707</v>
      </c>
    </row>
    <row r="32" spans="1:37" x14ac:dyDescent="0.25">
      <c r="A32" s="201" t="s">
        <v>1192</v>
      </c>
      <c r="B32" s="202">
        <v>10.770826257676665</v>
      </c>
      <c r="C32" s="202">
        <f>IF(B32="","",$B32*'AEO 2018_Table 13'!C$16/'AEO 2018_Table 13'!$C$16)</f>
        <v>10.770826257676665</v>
      </c>
      <c r="D32" s="202">
        <f>IF(C32="","",$B32*'AEO 2018_Table 13'!D$16/'AEO 2018_Table 13'!$C$16)</f>
        <v>10.834438216055629</v>
      </c>
      <c r="E32" s="202">
        <f>IF(D32="","",$B32*'AEO 2018_Table 13'!E$16/'AEO 2018_Table 13'!$C$16)</f>
        <v>11.577738656180475</v>
      </c>
      <c r="F32" s="202">
        <f>IF(E32="","",$B32*'AEO 2018_Table 13'!F$16/'AEO 2018_Table 13'!$C$16)</f>
        <v>12.47027635538266</v>
      </c>
      <c r="G32" s="202">
        <f>IF(F32="","",$B32*'AEO 2018_Table 13'!G$16/'AEO 2018_Table 13'!$C$16)</f>
        <v>13.058520647890299</v>
      </c>
      <c r="H32" s="202">
        <f>IF(G32="","",$B32*'AEO 2018_Table 13'!H$16/'AEO 2018_Table 13'!$C$16)</f>
        <v>13.229736065681749</v>
      </c>
      <c r="I32" s="202">
        <f>IF(H32="","",$B32*'AEO 2018_Table 13'!I$16/'AEO 2018_Table 13'!$C$16)</f>
        <v>13.531389902351544</v>
      </c>
      <c r="J32" s="202">
        <f>IF(I32="","",$B32*'AEO 2018_Table 13'!J$16/'AEO 2018_Table 13'!$C$16)</f>
        <v>13.836309417294917</v>
      </c>
      <c r="K32" s="202">
        <f>IF(J32="","",$B32*'AEO 2018_Table 13'!K$16/'AEO 2018_Table 13'!$C$16)</f>
        <v>14.064878509672928</v>
      </c>
      <c r="L32" s="202">
        <f>IF(K32="","",$B32*'AEO 2018_Table 13'!L$16/'AEO 2018_Table 13'!$C$16)</f>
        <v>14.307360718877856</v>
      </c>
      <c r="M32" s="202">
        <f>IF(L32="","",$B32*'AEO 2018_Table 13'!M$16/'AEO 2018_Table 13'!$C$16)</f>
        <v>14.487424813401775</v>
      </c>
      <c r="N32" s="202">
        <f>IF(M32="","",$B32*'AEO 2018_Table 13'!N$16/'AEO 2018_Table 13'!$C$16)</f>
        <v>14.720356273023055</v>
      </c>
      <c r="O32" s="202">
        <f>IF(N32="","",$B32*'AEO 2018_Table 13'!O$16/'AEO 2018_Table 13'!$C$16)</f>
        <v>14.932751302120057</v>
      </c>
      <c r="P32" s="202">
        <f>IF(O32="","",$B32*'AEO 2018_Table 13'!P$16/'AEO 2018_Table 13'!$C$16)</f>
        <v>15.058184053517351</v>
      </c>
      <c r="Q32" s="202">
        <f>IF(P32="","",$B32*'AEO 2018_Table 13'!Q$16/'AEO 2018_Table 13'!$C$16)</f>
        <v>15.124684266040331</v>
      </c>
      <c r="R32" s="202">
        <f>IF(Q32="","",$B32*'AEO 2018_Table 13'!R$16/'AEO 2018_Table 13'!$C$16)</f>
        <v>15.194773606117415</v>
      </c>
      <c r="S32" s="202">
        <f>IF(R32="","",$B32*'AEO 2018_Table 13'!S$16/'AEO 2018_Table 13'!$C$16)</f>
        <v>15.239700271387212</v>
      </c>
      <c r="T32" s="202">
        <f>IF(S32="","",$B32*'AEO 2018_Table 13'!T$16/'AEO 2018_Table 13'!$C$16)</f>
        <v>15.292660393262176</v>
      </c>
      <c r="U32" s="202">
        <f>IF(T32="","",$B32*'AEO 2018_Table 13'!U$16/'AEO 2018_Table 13'!$C$16)</f>
        <v>15.411407060211742</v>
      </c>
      <c r="V32" s="202">
        <f>IF(U32="","",$B32*'AEO 2018_Table 13'!V$16/'AEO 2018_Table 13'!$C$16)</f>
        <v>15.481018622921427</v>
      </c>
      <c r="W32" s="202">
        <f>IF(V32="","",$B32*'AEO 2018_Table 13'!W$16/'AEO 2018_Table 13'!$C$16)</f>
        <v>15.599708916139779</v>
      </c>
      <c r="X32" s="202">
        <f>IF(W32="","",$B32*'AEO 2018_Table 13'!X$16/'AEO 2018_Table 13'!$C$16)</f>
        <v>15.742950968837059</v>
      </c>
      <c r="Y32" s="202">
        <f>IF(X32="","",$B32*'AEO 2018_Table 13'!Y$16/'AEO 2018_Table 13'!$C$16)</f>
        <v>15.820719530584148</v>
      </c>
      <c r="Z32" s="202">
        <f>IF(Y32="","",$B32*'AEO 2018_Table 13'!Z$16/'AEO 2018_Table 13'!$C$16)</f>
        <v>15.920843675174911</v>
      </c>
      <c r="AA32" s="202">
        <f>IF(Z32="","",$B32*'AEO 2018_Table 13'!AA$16/'AEO 2018_Table 13'!$C$16)</f>
        <v>16.054407037905641</v>
      </c>
      <c r="AB32" s="202">
        <f>IF(AA32="","",$B32*'AEO 2018_Table 13'!AB$16/'AEO 2018_Table 13'!$C$16)</f>
        <v>16.154054204756395</v>
      </c>
      <c r="AC32" s="202">
        <f>IF(AB32="","",$B32*'AEO 2018_Table 13'!AC$16/'AEO 2018_Table 13'!$C$16)</f>
        <v>16.279741637478409</v>
      </c>
      <c r="AD32" s="202">
        <f>IF(AC32="","",$B32*'AEO 2018_Table 13'!AD$16/'AEO 2018_Table 13'!$C$16)</f>
        <v>16.388983133605738</v>
      </c>
      <c r="AE32" s="202">
        <f>IF(AD32="","",$B32*'AEO 2018_Table 13'!AE$16/'AEO 2018_Table 13'!$C$16)</f>
        <v>16.494549542234203</v>
      </c>
      <c r="AF32" s="202">
        <f>IF(AE32="","",$B32*'AEO 2018_Table 13'!AF$16/'AEO 2018_Table 13'!$C$16)</f>
        <v>16.577456109795904</v>
      </c>
      <c r="AG32" s="202">
        <f>IF(AF32="","",$B32*'AEO 2018_Table 13'!AG$16/'AEO 2018_Table 13'!$C$16)</f>
        <v>16.69627434339716</v>
      </c>
      <c r="AH32" s="202">
        <f>IF(AG32="","",$B32*'AEO 2018_Table 13'!AH$16/'AEO 2018_Table 13'!$C$16)</f>
        <v>16.82224844253961</v>
      </c>
      <c r="AI32" s="202">
        <f>IF(AH32="","",$B32*'AEO 2018_Table 13'!AI$16/'AEO 2018_Table 13'!$C$16)</f>
        <v>16.951904426013769</v>
      </c>
      <c r="AJ32" s="202">
        <f>IF(AI32="","",$B32*'AEO 2018_Table 13'!AJ$16/'AEO 2018_Table 13'!$C$16)</f>
        <v>17.032006300494039</v>
      </c>
      <c r="AK32" s="202">
        <f>IF(AJ32="","",$B32*'AEO 2018_Table 13'!AK$16/'AEO 2018_Table 13'!$C$16)</f>
        <v>17.183588466901753</v>
      </c>
    </row>
    <row r="33" spans="1:37" x14ac:dyDescent="0.25">
      <c r="A33" s="201" t="s">
        <v>1193</v>
      </c>
      <c r="B33" s="202">
        <v>9.0077069019788123</v>
      </c>
      <c r="C33" s="202">
        <f>IF(B33="","",$B33*'AEO 2018_Table 13'!C$16/'AEO 2018_Table 13'!$C$16)</f>
        <v>9.0077069019788123</v>
      </c>
      <c r="D33" s="202">
        <f>IF(C33="","",$B33*'AEO 2018_Table 13'!D$16/'AEO 2018_Table 13'!$C$16)</f>
        <v>9.0609059660831264</v>
      </c>
      <c r="E33" s="202">
        <f>IF(D33="","",$B33*'AEO 2018_Table 13'!E$16/'AEO 2018_Table 13'!$C$16)</f>
        <v>9.682532603128216</v>
      </c>
      <c r="F33" s="202">
        <f>IF(E33="","",$B33*'AEO 2018_Table 13'!F$16/'AEO 2018_Table 13'!$C$16)</f>
        <v>10.428967259211326</v>
      </c>
      <c r="G33" s="202">
        <f>IF(F33="","",$B33*'AEO 2018_Table 13'!G$16/'AEO 2018_Table 13'!$C$16)</f>
        <v>10.920919505669126</v>
      </c>
      <c r="H33" s="202">
        <f>IF(G33="","",$B33*'AEO 2018_Table 13'!H$16/'AEO 2018_Table 13'!$C$16)</f>
        <v>11.064107991275419</v>
      </c>
      <c r="I33" s="202">
        <f>IF(H33="","",$B33*'AEO 2018_Table 13'!I$16/'AEO 2018_Table 13'!$C$16)</f>
        <v>11.316382912583546</v>
      </c>
      <c r="J33" s="202">
        <f>IF(I33="","",$B33*'AEO 2018_Table 13'!J$16/'AEO 2018_Table 13'!$C$16)</f>
        <v>11.571388940310143</v>
      </c>
      <c r="K33" s="202">
        <f>IF(J33="","",$B33*'AEO 2018_Table 13'!K$16/'AEO 2018_Table 13'!$C$16)</f>
        <v>11.762542649574094</v>
      </c>
      <c r="L33" s="202">
        <f>IF(K33="","",$B33*'AEO 2018_Table 13'!L$16/'AEO 2018_Table 13'!$C$16)</f>
        <v>11.965331982277844</v>
      </c>
      <c r="M33" s="202">
        <f>IF(L33="","",$B33*'AEO 2018_Table 13'!M$16/'AEO 2018_Table 13'!$C$16)</f>
        <v>12.115920669555729</v>
      </c>
      <c r="N33" s="202">
        <f>IF(M33="","",$B33*'AEO 2018_Table 13'!N$16/'AEO 2018_Table 13'!$C$16)</f>
        <v>12.310722652831911</v>
      </c>
      <c r="O33" s="202">
        <f>IF(N33="","",$B33*'AEO 2018_Table 13'!O$16/'AEO 2018_Table 13'!$C$16)</f>
        <v>12.488349895512522</v>
      </c>
      <c r="P33" s="202">
        <f>IF(O33="","",$B33*'AEO 2018_Table 13'!P$16/'AEO 2018_Table 13'!$C$16)</f>
        <v>12.593250061336878</v>
      </c>
      <c r="Q33" s="202">
        <f>IF(P33="","",$B33*'AEO 2018_Table 13'!Q$16/'AEO 2018_Table 13'!$C$16)</f>
        <v>12.648864589785832</v>
      </c>
      <c r="R33" s="202">
        <f>IF(Q33="","",$B33*'AEO 2018_Table 13'!R$16/'AEO 2018_Table 13'!$C$16)</f>
        <v>12.707480727235597</v>
      </c>
      <c r="S33" s="202">
        <f>IF(R33="","",$B33*'AEO 2018_Table 13'!S$16/'AEO 2018_Table 13'!$C$16)</f>
        <v>12.745053168119155</v>
      </c>
      <c r="T33" s="202">
        <f>IF(S33="","",$B33*'AEO 2018_Table 13'!T$16/'AEO 2018_Table 13'!$C$16)</f>
        <v>12.789344037169498</v>
      </c>
      <c r="U33" s="202">
        <f>IF(T33="","",$B33*'AEO 2018_Table 13'!U$16/'AEO 2018_Table 13'!$C$16)</f>
        <v>12.88865259028131</v>
      </c>
      <c r="V33" s="202">
        <f>IF(U33="","",$B33*'AEO 2018_Table 13'!V$16/'AEO 2018_Table 13'!$C$16)</f>
        <v>12.946869159639736</v>
      </c>
      <c r="W33" s="202">
        <f>IF(V33="","",$B33*'AEO 2018_Table 13'!W$16/'AEO 2018_Table 13'!$C$16)</f>
        <v>13.046130567060436</v>
      </c>
      <c r="X33" s="202">
        <f>IF(W33="","",$B33*'AEO 2018_Table 13'!X$16/'AEO 2018_Table 13'!$C$16)</f>
        <v>13.16592475887699</v>
      </c>
      <c r="Y33" s="202">
        <f>IF(X33="","",$B33*'AEO 2018_Table 13'!Y$16/'AEO 2018_Table 13'!$C$16)</f>
        <v>13.230963075682718</v>
      </c>
      <c r="Z33" s="202">
        <f>IF(Y33="","",$B33*'AEO 2018_Table 13'!Z$16/'AEO 2018_Table 13'!$C$16)</f>
        <v>13.314697501130548</v>
      </c>
      <c r="AA33" s="202">
        <f>IF(Z33="","",$B33*'AEO 2018_Table 13'!AA$16/'AEO 2018_Table 13'!$C$16)</f>
        <v>13.42639734620637</v>
      </c>
      <c r="AB33" s="202">
        <f>IF(AA33="","",$B33*'AEO 2018_Table 13'!AB$16/'AEO 2018_Table 13'!$C$16)</f>
        <v>13.509732872296066</v>
      </c>
      <c r="AC33" s="202">
        <f>IF(AB33="","",$B33*'AEO 2018_Table 13'!AC$16/'AEO 2018_Table 13'!$C$16)</f>
        <v>13.614846029646936</v>
      </c>
      <c r="AD33" s="202">
        <f>IF(AC33="","",$B33*'AEO 2018_Table 13'!AD$16/'AEO 2018_Table 13'!$C$16)</f>
        <v>13.706205351123995</v>
      </c>
      <c r="AE33" s="202">
        <f>IF(AD33="","",$B33*'AEO 2018_Table 13'!AE$16/'AEO 2018_Table 13'!$C$16)</f>
        <v>13.794491174780466</v>
      </c>
      <c r="AF33" s="202">
        <f>IF(AE33="","",$B33*'AEO 2018_Table 13'!AF$16/'AEO 2018_Table 13'!$C$16)</f>
        <v>13.863826436809475</v>
      </c>
      <c r="AG33" s="202">
        <f>IF(AF33="","",$B33*'AEO 2018_Table 13'!AG$16/'AEO 2018_Table 13'!$C$16)</f>
        <v>13.963194841543338</v>
      </c>
      <c r="AH33" s="202">
        <f>IF(AG33="","",$B33*'AEO 2018_Table 13'!AH$16/'AEO 2018_Table 13'!$C$16)</f>
        <v>14.068547739749013</v>
      </c>
      <c r="AI33" s="202">
        <f>IF(AH33="","",$B33*'AEO 2018_Table 13'!AI$16/'AEO 2018_Table 13'!$C$16)</f>
        <v>14.17697982000754</v>
      </c>
      <c r="AJ33" s="202">
        <f>IF(AI33="","",$B33*'AEO 2018_Table 13'!AJ$16/'AEO 2018_Table 13'!$C$16)</f>
        <v>14.243969500312065</v>
      </c>
      <c r="AK33" s="202">
        <f>IF(AJ33="","",$B33*'AEO 2018_Table 13'!AK$16/'AEO 2018_Table 13'!$C$16)</f>
        <v>14.37073857948039</v>
      </c>
    </row>
    <row r="34" spans="1:37" x14ac:dyDescent="0.25">
      <c r="A34" s="203" t="s">
        <v>1194</v>
      </c>
      <c r="B34" s="204">
        <v>0.98156274720045289</v>
      </c>
      <c r="C34" s="204">
        <f>IF(B34="","",$B34*'AEO 2018_Table 13'!C$16/'AEO 2018_Table 13'!$C$16)</f>
        <v>0.98156274720045289</v>
      </c>
      <c r="D34" s="204">
        <f>IF(C34="","",$B34*'AEO 2018_Table 13'!D$16/'AEO 2018_Table 13'!$C$16)</f>
        <v>0.98735980743775398</v>
      </c>
      <c r="E34" s="204">
        <f>IF(D34="","",$B34*'AEO 2018_Table 13'!E$16/'AEO 2018_Table 13'!$C$16)</f>
        <v>1.0550979739023969</v>
      </c>
      <c r="F34" s="204">
        <f>IF(E34="","",$B34*'AEO 2018_Table 13'!F$16/'AEO 2018_Table 13'!$C$16)</f>
        <v>1.1364363721877153</v>
      </c>
      <c r="G34" s="204">
        <f>IF(F34="","",$B34*'AEO 2018_Table 13'!G$16/'AEO 2018_Table 13'!$C$16)</f>
        <v>1.1900440221456057</v>
      </c>
      <c r="H34" s="204">
        <f>IF(G34="","",$B34*'AEO 2018_Table 13'!H$16/'AEO 2018_Table 13'!$C$16)</f>
        <v>1.2056471589737268</v>
      </c>
      <c r="I34" s="204">
        <f>IF(H34="","",$B34*'AEO 2018_Table 13'!I$16/'AEO 2018_Table 13'!$C$16)</f>
        <v>1.2331373590328101</v>
      </c>
      <c r="J34" s="204">
        <f>IF(I34="","",$B34*'AEO 2018_Table 13'!J$16/'AEO 2018_Table 13'!$C$16)</f>
        <v>1.260925165613529</v>
      </c>
      <c r="K34" s="204">
        <f>IF(J34="","",$B34*'AEO 2018_Table 13'!K$16/'AEO 2018_Table 13'!$C$16)</f>
        <v>1.2817550351957043</v>
      </c>
      <c r="L34" s="204">
        <f>IF(K34="","",$B34*'AEO 2018_Table 13'!L$16/'AEO 2018_Table 13'!$C$16)</f>
        <v>1.3038528295264584</v>
      </c>
      <c r="M34" s="204">
        <f>IF(L34="","",$B34*'AEO 2018_Table 13'!M$16/'AEO 2018_Table 13'!$C$16)</f>
        <v>1.3202623605192261</v>
      </c>
      <c r="N34" s="204">
        <f>IF(M34="","",$B34*'AEO 2018_Table 13'!N$16/'AEO 2018_Table 13'!$C$16)</f>
        <v>1.3414897796554617</v>
      </c>
      <c r="O34" s="204">
        <f>IF(N34="","",$B34*'AEO 2018_Table 13'!O$16/'AEO 2018_Table 13'!$C$16)</f>
        <v>1.3608456807966189</v>
      </c>
      <c r="P34" s="204">
        <f>IF(O34="","",$B34*'AEO 2018_Table 13'!P$16/'AEO 2018_Table 13'!$C$16)</f>
        <v>1.3722765694865828</v>
      </c>
      <c r="Q34" s="204">
        <f>IF(P34="","",$B34*'AEO 2018_Table 13'!Q$16/'AEO 2018_Table 13'!$C$16)</f>
        <v>1.3783368409766132</v>
      </c>
      <c r="R34" s="204">
        <f>IF(Q34="","",$B34*'AEO 2018_Table 13'!R$16/'AEO 2018_Table 13'!$C$16)</f>
        <v>1.3847241954422465</v>
      </c>
      <c r="S34" s="204">
        <f>IF(R34="","",$B34*'AEO 2018_Table 13'!S$16/'AEO 2018_Table 13'!$C$16)</f>
        <v>1.3888184348190395</v>
      </c>
      <c r="T34" s="204">
        <f>IF(S34="","",$B34*'AEO 2018_Table 13'!T$16/'AEO 2018_Table 13'!$C$16)</f>
        <v>1.3936447760370692</v>
      </c>
      <c r="U34" s="204">
        <f>IF(T34="","",$B34*'AEO 2018_Table 13'!U$16/'AEO 2018_Table 13'!$C$16)</f>
        <v>1.4044663510809374</v>
      </c>
      <c r="V34" s="204">
        <f>IF(U34="","",$B34*'AEO 2018_Table 13'!V$16/'AEO 2018_Table 13'!$C$16)</f>
        <v>1.410810164925445</v>
      </c>
      <c r="W34" s="204">
        <f>IF(V34="","",$B34*'AEO 2018_Table 13'!W$16/'AEO 2018_Table 13'!$C$16)</f>
        <v>1.4216266025403772</v>
      </c>
      <c r="X34" s="204">
        <f>IF(W34="","",$B34*'AEO 2018_Table 13'!X$16/'AEO 2018_Table 13'!$C$16)</f>
        <v>1.4346804815461742</v>
      </c>
      <c r="Y34" s="204">
        <f>IF(X34="","",$B34*'AEO 2018_Table 13'!Y$16/'AEO 2018_Table 13'!$C$16)</f>
        <v>1.4417676558527781</v>
      </c>
      <c r="Z34" s="204">
        <f>IF(Y34="","",$B34*'AEO 2018_Table 13'!Z$16/'AEO 2018_Table 13'!$C$16)</f>
        <v>1.4508921304357338</v>
      </c>
      <c r="AA34" s="204">
        <f>IF(Z34="","",$B34*'AEO 2018_Table 13'!AA$16/'AEO 2018_Table 13'!$C$16)</f>
        <v>1.4630639748338241</v>
      </c>
      <c r="AB34" s="204">
        <f>IF(AA34="","",$B34*'AEO 2018_Table 13'!AB$16/'AEO 2018_Table 13'!$C$16)</f>
        <v>1.4721449816669869</v>
      </c>
      <c r="AC34" s="204">
        <f>IF(AB34="","",$B34*'AEO 2018_Table 13'!AC$16/'AEO 2018_Table 13'!$C$16)</f>
        <v>1.4835990798763292</v>
      </c>
      <c r="AD34" s="204">
        <f>IF(AC34="","",$B34*'AEO 2018_Table 13'!AD$16/'AEO 2018_Table 13'!$C$16)</f>
        <v>1.4935544333916273</v>
      </c>
      <c r="AE34" s="204">
        <f>IF(AD34="","",$B34*'AEO 2018_Table 13'!AE$16/'AEO 2018_Table 13'!$C$16)</f>
        <v>1.5031748702630874</v>
      </c>
      <c r="AF34" s="204">
        <f>IF(AE34="","",$B34*'AEO 2018_Table 13'!AF$16/'AEO 2018_Table 13'!$C$16)</f>
        <v>1.5107302793162065</v>
      </c>
      <c r="AG34" s="204">
        <f>IF(AF34="","",$B34*'AEO 2018_Table 13'!AG$16/'AEO 2018_Table 13'!$C$16)</f>
        <v>1.5215583763443274</v>
      </c>
      <c r="AH34" s="204">
        <f>IF(AG34="","",$B34*'AEO 2018_Table 13'!AH$16/'AEO 2018_Table 13'!$C$16)</f>
        <v>1.5330385989263449</v>
      </c>
      <c r="AI34" s="204">
        <f>IF(AH34="","",$B34*'AEO 2018_Table 13'!AI$16/'AEO 2018_Table 13'!$C$16)</f>
        <v>1.5448543575585265</v>
      </c>
      <c r="AJ34" s="204">
        <f>IF(AI34="","",$B34*'AEO 2018_Table 13'!AJ$16/'AEO 2018_Table 13'!$C$16)</f>
        <v>1.552154170413155</v>
      </c>
      <c r="AK34" s="204">
        <f>IF(AJ34="","",$B34*'AEO 2018_Table 13'!AK$16/'AEO 2018_Table 13'!$C$16)</f>
        <v>1.5659680974161745</v>
      </c>
    </row>
    <row r="35" spans="1:37" x14ac:dyDescent="0.25">
      <c r="A35" s="197" t="s">
        <v>1195</v>
      </c>
      <c r="B35" s="191"/>
      <c r="C35" s="191" t="str">
        <f>IF(B35="","",$B35*'AEO 2018_Table 13'!C$16/'AEO 2018_Table 13'!$C$16)</f>
        <v/>
      </c>
      <c r="D35" s="191" t="str">
        <f>IF(C35="","",$B35*'AEO 2018_Table 13'!D$16/'AEO 2018_Table 13'!$C$16)</f>
        <v/>
      </c>
      <c r="E35" s="191" t="str">
        <f>IF(D35="","",$B35*'AEO 2018_Table 13'!E$16/'AEO 2018_Table 13'!$C$16)</f>
        <v/>
      </c>
      <c r="F35" s="191" t="str">
        <f>IF(E35="","",$B35*'AEO 2018_Table 13'!F$16/'AEO 2018_Table 13'!$C$16)</f>
        <v/>
      </c>
      <c r="G35" s="191" t="str">
        <f>IF(F35="","",$B35*'AEO 2018_Table 13'!G$16/'AEO 2018_Table 13'!$C$16)</f>
        <v/>
      </c>
      <c r="H35" s="191" t="str">
        <f>IF(G35="","",$B35*'AEO 2018_Table 13'!H$16/'AEO 2018_Table 13'!$C$16)</f>
        <v/>
      </c>
      <c r="I35" s="191" t="str">
        <f>IF(H35="","",$B35*'AEO 2018_Table 13'!I$16/'AEO 2018_Table 13'!$C$16)</f>
        <v/>
      </c>
      <c r="J35" s="191" t="str">
        <f>IF(I35="","",$B35*'AEO 2018_Table 13'!J$16/'AEO 2018_Table 13'!$C$16)</f>
        <v/>
      </c>
      <c r="K35" s="191" t="str">
        <f>IF(J35="","",$B35*'AEO 2018_Table 13'!K$16/'AEO 2018_Table 13'!$C$16)</f>
        <v/>
      </c>
      <c r="L35" s="191" t="str">
        <f>IF(K35="","",$B35*'AEO 2018_Table 13'!L$16/'AEO 2018_Table 13'!$C$16)</f>
        <v/>
      </c>
      <c r="M35" s="191" t="str">
        <f>IF(L35="","",$B35*'AEO 2018_Table 13'!M$16/'AEO 2018_Table 13'!$C$16)</f>
        <v/>
      </c>
      <c r="N35" s="191" t="str">
        <f>IF(M35="","",$B35*'AEO 2018_Table 13'!N$16/'AEO 2018_Table 13'!$C$16)</f>
        <v/>
      </c>
      <c r="O35" s="191" t="str">
        <f>IF(N35="","",$B35*'AEO 2018_Table 13'!O$16/'AEO 2018_Table 13'!$C$16)</f>
        <v/>
      </c>
      <c r="P35" s="191" t="str">
        <f>IF(O35="","",$B35*'AEO 2018_Table 13'!P$16/'AEO 2018_Table 13'!$C$16)</f>
        <v/>
      </c>
      <c r="Q35" s="191" t="str">
        <f>IF(P35="","",$B35*'AEO 2018_Table 13'!Q$16/'AEO 2018_Table 13'!$C$16)</f>
        <v/>
      </c>
      <c r="R35" s="191" t="str">
        <f>IF(Q35="","",$B35*'AEO 2018_Table 13'!R$16/'AEO 2018_Table 13'!$C$16)</f>
        <v/>
      </c>
      <c r="S35" s="191" t="str">
        <f>IF(R35="","",$B35*'AEO 2018_Table 13'!S$16/'AEO 2018_Table 13'!$C$16)</f>
        <v/>
      </c>
      <c r="T35" s="191" t="str">
        <f>IF(S35="","",$B35*'AEO 2018_Table 13'!T$16/'AEO 2018_Table 13'!$C$16)</f>
        <v/>
      </c>
      <c r="U35" s="191" t="str">
        <f>IF(T35="","",$B35*'AEO 2018_Table 13'!U$16/'AEO 2018_Table 13'!$C$16)</f>
        <v/>
      </c>
      <c r="V35" s="191" t="str">
        <f>IF(U35="","",$B35*'AEO 2018_Table 13'!V$16/'AEO 2018_Table 13'!$C$16)</f>
        <v/>
      </c>
      <c r="W35" s="191" t="str">
        <f>IF(V35="","",$B35*'AEO 2018_Table 13'!W$16/'AEO 2018_Table 13'!$C$16)</f>
        <v/>
      </c>
      <c r="X35" s="191" t="str">
        <f>IF(W35="","",$B35*'AEO 2018_Table 13'!X$16/'AEO 2018_Table 13'!$C$16)</f>
        <v/>
      </c>
      <c r="Y35" s="191" t="str">
        <f>IF(X35="","",$B35*'AEO 2018_Table 13'!Y$16/'AEO 2018_Table 13'!$C$16)</f>
        <v/>
      </c>
      <c r="Z35" s="191" t="str">
        <f>IF(Y35="","",$B35*'AEO 2018_Table 13'!Z$16/'AEO 2018_Table 13'!$C$16)</f>
        <v/>
      </c>
      <c r="AA35" s="191" t="str">
        <f>IF(Z35="","",$B35*'AEO 2018_Table 13'!AA$16/'AEO 2018_Table 13'!$C$16)</f>
        <v/>
      </c>
      <c r="AB35" s="191" t="str">
        <f>IF(AA35="","",$B35*'AEO 2018_Table 13'!AB$16/'AEO 2018_Table 13'!$C$16)</f>
        <v/>
      </c>
      <c r="AC35" s="191" t="str">
        <f>IF(AB35="","",$B35*'AEO 2018_Table 13'!AC$16/'AEO 2018_Table 13'!$C$16)</f>
        <v/>
      </c>
      <c r="AD35" s="191" t="str">
        <f>IF(AC35="","",$B35*'AEO 2018_Table 13'!AD$16/'AEO 2018_Table 13'!$C$16)</f>
        <v/>
      </c>
      <c r="AE35" s="191" t="str">
        <f>IF(AD35="","",$B35*'AEO 2018_Table 13'!AE$16/'AEO 2018_Table 13'!$C$16)</f>
        <v/>
      </c>
      <c r="AF35" s="191" t="str">
        <f>IF(AE35="","",$B35*'AEO 2018_Table 13'!AF$16/'AEO 2018_Table 13'!$C$16)</f>
        <v/>
      </c>
      <c r="AG35" s="191" t="str">
        <f>IF(AF35="","",$B35*'AEO 2018_Table 13'!AG$16/'AEO 2018_Table 13'!$C$16)</f>
        <v/>
      </c>
      <c r="AH35" s="191" t="str">
        <f>IF(AG35="","",$B35*'AEO 2018_Table 13'!AH$16/'AEO 2018_Table 13'!$C$16)</f>
        <v/>
      </c>
      <c r="AI35" s="191" t="str">
        <f>IF(AH35="","",$B35*'AEO 2018_Table 13'!AI$16/'AEO 2018_Table 13'!$C$16)</f>
        <v/>
      </c>
      <c r="AJ35" s="191" t="str">
        <f>IF(AI35="","",$B35*'AEO 2018_Table 13'!AJ$16/'AEO 2018_Table 13'!$C$16)</f>
        <v/>
      </c>
      <c r="AK35" s="191" t="str">
        <f>IF(AJ35="","",$B35*'AEO 2018_Table 13'!AK$16/'AEO 2018_Table 13'!$C$16)</f>
        <v/>
      </c>
    </row>
    <row r="36" spans="1:37" x14ac:dyDescent="0.25">
      <c r="A36" s="198" t="s">
        <v>1196</v>
      </c>
      <c r="B36" s="205">
        <v>48.074173067448015</v>
      </c>
      <c r="C36" s="205">
        <f>IF(B36="","",$B36*'AEO 2018_Table 13'!C$16/'AEO 2018_Table 13'!$C$16)</f>
        <v>48.074173067448022</v>
      </c>
      <c r="D36" s="205">
        <f>IF(C36="","",$B36*'AEO 2018_Table 13'!D$16/'AEO 2018_Table 13'!$C$16)</f>
        <v>48.358096716675021</v>
      </c>
      <c r="E36" s="205">
        <f>IF(D36="","",$B36*'AEO 2018_Table 13'!E$16/'AEO 2018_Table 13'!$C$16)</f>
        <v>51.675720930899431</v>
      </c>
      <c r="F36" s="205">
        <f>IF(E36="","",$B36*'AEO 2018_Table 13'!F$16/'AEO 2018_Table 13'!$C$16)</f>
        <v>55.659446115407533</v>
      </c>
      <c r="G36" s="205">
        <f>IF(F36="","",$B36*'AEO 2018_Table 13'!G$16/'AEO 2018_Table 13'!$C$16)</f>
        <v>58.28499751206062</v>
      </c>
      <c r="H36" s="205">
        <f>IF(G36="","",$B36*'AEO 2018_Table 13'!H$16/'AEO 2018_Table 13'!$C$16)</f>
        <v>59.049195116757389</v>
      </c>
      <c r="I36" s="205">
        <f>IF(H36="","",$B36*'AEO 2018_Table 13'!I$16/'AEO 2018_Table 13'!$C$16)</f>
        <v>60.395587529334605</v>
      </c>
      <c r="J36" s="205">
        <f>IF(I36="","",$B36*'AEO 2018_Table 13'!J$16/'AEO 2018_Table 13'!$C$16)</f>
        <v>61.756555869398802</v>
      </c>
      <c r="K36" s="205">
        <f>IF(J36="","",$B36*'AEO 2018_Table 13'!K$16/'AEO 2018_Table 13'!$C$16)</f>
        <v>62.776744092843444</v>
      </c>
      <c r="L36" s="205">
        <f>IF(K36="","",$B36*'AEO 2018_Table 13'!L$16/'AEO 2018_Table 13'!$C$16)</f>
        <v>63.859031691976</v>
      </c>
      <c r="M36" s="205">
        <f>IF(L36="","",$B36*'AEO 2018_Table 13'!M$16/'AEO 2018_Table 13'!$C$16)</f>
        <v>64.662724206949648</v>
      </c>
      <c r="N36" s="205">
        <f>IF(M36="","",$B36*'AEO 2018_Table 13'!N$16/'AEO 2018_Table 13'!$C$16)</f>
        <v>65.702383285537564</v>
      </c>
      <c r="O36" s="205">
        <f>IF(N36="","",$B36*'AEO 2018_Table 13'!O$16/'AEO 2018_Table 13'!$C$16)</f>
        <v>66.650380694761139</v>
      </c>
      <c r="P36" s="205">
        <f>IF(O36="","",$B36*'AEO 2018_Table 13'!P$16/'AEO 2018_Table 13'!$C$16)</f>
        <v>67.210233361096925</v>
      </c>
      <c r="Q36" s="205">
        <f>IF(P36="","",$B36*'AEO 2018_Table 13'!Q$16/'AEO 2018_Table 13'!$C$16)</f>
        <v>67.507048354614568</v>
      </c>
      <c r="R36" s="205">
        <f>IF(Q36="","",$B36*'AEO 2018_Table 13'!R$16/'AEO 2018_Table 13'!$C$16)</f>
        <v>67.819882949142297</v>
      </c>
      <c r="S36" s="205">
        <f>IF(R36="","",$B36*'AEO 2018_Table 13'!S$16/'AEO 2018_Table 13'!$C$16)</f>
        <v>68.020407238537842</v>
      </c>
      <c r="T36" s="205">
        <f>IF(S36="","",$B36*'AEO 2018_Table 13'!T$16/'AEO 2018_Table 13'!$C$16)</f>
        <v>68.256787809886816</v>
      </c>
      <c r="U36" s="205">
        <f>IF(T36="","",$B36*'AEO 2018_Table 13'!U$16/'AEO 2018_Table 13'!$C$16)</f>
        <v>68.786798013518819</v>
      </c>
      <c r="V36" s="205">
        <f>IF(U36="","",$B36*'AEO 2018_Table 13'!V$16/'AEO 2018_Table 13'!$C$16)</f>
        <v>69.097500111309671</v>
      </c>
      <c r="W36" s="205">
        <f>IF(V36="","",$B36*'AEO 2018_Table 13'!W$16/'AEO 2018_Table 13'!$C$16)</f>
        <v>69.627258698171886</v>
      </c>
      <c r="X36" s="205">
        <f>IF(W36="","",$B36*'AEO 2018_Table 13'!X$16/'AEO 2018_Table 13'!$C$16)</f>
        <v>70.266600849568817</v>
      </c>
      <c r="Y36" s="205">
        <f>IF(X36="","",$B36*'AEO 2018_Table 13'!Y$16/'AEO 2018_Table 13'!$C$16)</f>
        <v>70.61371064478729</v>
      </c>
      <c r="Z36" s="205">
        <f>IF(Y36="","",$B36*'AEO 2018_Table 13'!Z$16/'AEO 2018_Table 13'!$C$16)</f>
        <v>71.060601657615209</v>
      </c>
      <c r="AA36" s="205">
        <f>IF(Z36="","",$B36*'AEO 2018_Table 13'!AA$16/'AEO 2018_Table 13'!$C$16)</f>
        <v>71.656744243316197</v>
      </c>
      <c r="AB36" s="205">
        <f>IF(AA36="","",$B36*'AEO 2018_Table 13'!AB$16/'AEO 2018_Table 13'!$C$16)</f>
        <v>72.101506328439399</v>
      </c>
      <c r="AC36" s="205">
        <f>IF(AB36="","",$B36*'AEO 2018_Table 13'!AC$16/'AEO 2018_Table 13'!$C$16)</f>
        <v>72.662495731529503</v>
      </c>
      <c r="AD36" s="205">
        <f>IF(AC36="","",$B36*'AEO 2018_Table 13'!AD$16/'AEO 2018_Table 13'!$C$16)</f>
        <v>73.15008084945201</v>
      </c>
      <c r="AE36" s="205">
        <f>IF(AD36="","",$B36*'AEO 2018_Table 13'!AE$16/'AEO 2018_Table 13'!$C$16)</f>
        <v>73.621262695403402</v>
      </c>
      <c r="AF36" s="205">
        <f>IF(AE36="","",$B36*'AEO 2018_Table 13'!AF$16/'AEO 2018_Table 13'!$C$16)</f>
        <v>73.991305306994931</v>
      </c>
      <c r="AG36" s="205">
        <f>IF(AF36="","",$B36*'AEO 2018_Table 13'!AG$16/'AEO 2018_Table 13'!$C$16)</f>
        <v>74.52163493900845</v>
      </c>
      <c r="AH36" s="205">
        <f>IF(AG36="","",$B36*'AEO 2018_Table 13'!AH$16/'AEO 2018_Table 13'!$C$16)</f>
        <v>75.083903840140678</v>
      </c>
      <c r="AI36" s="205">
        <f>IF(AH36="","",$B36*'AEO 2018_Table 13'!AI$16/'AEO 2018_Table 13'!$C$16)</f>
        <v>75.662606350017711</v>
      </c>
      <c r="AJ36" s="205">
        <f>IF(AI36="","",$B36*'AEO 2018_Table 13'!AJ$16/'AEO 2018_Table 13'!$C$16)</f>
        <v>76.020130581183054</v>
      </c>
      <c r="AK36" s="205">
        <f>IF(AJ36="","",$B36*'AEO 2018_Table 13'!AK$16/'AEO 2018_Table 13'!$C$16)</f>
        <v>76.69669773838045</v>
      </c>
    </row>
    <row r="37" spans="1:37" x14ac:dyDescent="0.25">
      <c r="A37" s="206" t="s">
        <v>1197</v>
      </c>
      <c r="B37" s="195">
        <v>12.785334576728092</v>
      </c>
      <c r="C37" s="195">
        <f>IF(B37="","",$B37*'AEO 2018_Table 13'!C$16/'AEO 2018_Table 13'!$C$16)</f>
        <v>12.785334576728092</v>
      </c>
      <c r="D37" s="195">
        <f>IF(C37="","",$B37*'AEO 2018_Table 13'!D$16/'AEO 2018_Table 13'!$C$16)</f>
        <v>12.860844119960793</v>
      </c>
      <c r="E37" s="195">
        <f>IF(D37="","",$B37*'AEO 2018_Table 13'!E$16/'AEO 2018_Table 13'!$C$16)</f>
        <v>13.743166849032029</v>
      </c>
      <c r="F37" s="195">
        <f>IF(E37="","",$B37*'AEO 2018_Table 13'!F$16/'AEO 2018_Table 13'!$C$16)</f>
        <v>14.802639245451926</v>
      </c>
      <c r="G37" s="195">
        <f>IF(F37="","",$B37*'AEO 2018_Table 13'!G$16/'AEO 2018_Table 13'!$C$16)</f>
        <v>15.50090508993164</v>
      </c>
      <c r="H37" s="195">
        <f>IF(G37="","",$B37*'AEO 2018_Table 13'!H$16/'AEO 2018_Table 13'!$C$16)</f>
        <v>15.704143574035658</v>
      </c>
      <c r="I37" s="195">
        <f>IF(H37="","",$B37*'AEO 2018_Table 13'!I$16/'AEO 2018_Table 13'!$C$16)</f>
        <v>16.062216867199048</v>
      </c>
      <c r="J37" s="195">
        <f>IF(I37="","",$B37*'AEO 2018_Table 13'!J$16/'AEO 2018_Table 13'!$C$16)</f>
        <v>16.424166630778799</v>
      </c>
      <c r="K37" s="195">
        <f>IF(J37="","",$B37*'AEO 2018_Table 13'!K$16/'AEO 2018_Table 13'!$C$16)</f>
        <v>16.695485863866342</v>
      </c>
      <c r="L37" s="195">
        <f>IF(K37="","",$B37*'AEO 2018_Table 13'!L$16/'AEO 2018_Table 13'!$C$16)</f>
        <v>16.983320436574221</v>
      </c>
      <c r="M37" s="195">
        <f>IF(L37="","",$B37*'AEO 2018_Table 13'!M$16/'AEO 2018_Table 13'!$C$16)</f>
        <v>17.197062598843626</v>
      </c>
      <c r="N37" s="195">
        <f>IF(M37="","",$B37*'AEO 2018_Table 13'!N$16/'AEO 2018_Table 13'!$C$16)</f>
        <v>17.473560109197681</v>
      </c>
      <c r="O37" s="195">
        <f>IF(N37="","",$B37*'AEO 2018_Table 13'!O$16/'AEO 2018_Table 13'!$C$16)</f>
        <v>17.725680182855317</v>
      </c>
      <c r="P37" s="195">
        <f>IF(O37="","",$B37*'AEO 2018_Table 13'!P$16/'AEO 2018_Table 13'!$C$16)</f>
        <v>17.874573095537016</v>
      </c>
      <c r="Q37" s="195">
        <f>IF(P37="","",$B37*'AEO 2018_Table 13'!Q$16/'AEO 2018_Table 13'!$C$16)</f>
        <v>17.953511093995939</v>
      </c>
      <c r="R37" s="195">
        <f>IF(Q37="","",$B37*'AEO 2018_Table 13'!R$16/'AEO 2018_Table 13'!$C$16)</f>
        <v>18.036709508092436</v>
      </c>
      <c r="S37" s="195">
        <f>IF(R37="","",$B37*'AEO 2018_Table 13'!S$16/'AEO 2018_Table 13'!$C$16)</f>
        <v>18.090038977266783</v>
      </c>
      <c r="T37" s="195">
        <f>IF(S37="","",$B37*'AEO 2018_Table 13'!T$16/'AEO 2018_Table 13'!$C$16)</f>
        <v>18.152904430779518</v>
      </c>
      <c r="U37" s="195">
        <f>IF(T37="","",$B37*'AEO 2018_Table 13'!U$16/'AEO 2018_Table 13'!$C$16)</f>
        <v>18.293860735384232</v>
      </c>
      <c r="V37" s="195">
        <f>IF(U37="","",$B37*'AEO 2018_Table 13'!V$16/'AEO 2018_Table 13'!$C$16)</f>
        <v>18.37649201160762</v>
      </c>
      <c r="W37" s="195">
        <f>IF(V37="","",$B37*'AEO 2018_Table 13'!W$16/'AEO 2018_Table 13'!$C$16)</f>
        <v>18.517381398689231</v>
      </c>
      <c r="X37" s="195">
        <f>IF(W37="","",$B37*'AEO 2018_Table 13'!X$16/'AEO 2018_Table 13'!$C$16)</f>
        <v>18.68741455356319</v>
      </c>
      <c r="Y37" s="195">
        <f>IF(X37="","",$B37*'AEO 2018_Table 13'!Y$16/'AEO 2018_Table 13'!$C$16)</f>
        <v>18.779728463164954</v>
      </c>
      <c r="Z37" s="195">
        <f>IF(Y37="","",$B37*'AEO 2018_Table 13'!Z$16/'AEO 2018_Table 13'!$C$16)</f>
        <v>18.898579204712217</v>
      </c>
      <c r="AA37" s="195">
        <f>IF(Z37="","",$B37*'AEO 2018_Table 13'!AA$16/'AEO 2018_Table 13'!$C$16)</f>
        <v>19.057123427676373</v>
      </c>
      <c r="AB37" s="195">
        <f>IF(AA37="","",$B37*'AEO 2018_Table 13'!AB$16/'AEO 2018_Table 13'!$C$16)</f>
        <v>19.175407980535255</v>
      </c>
      <c r="AC37" s="195">
        <f>IF(AB37="","",$B37*'AEO 2018_Table 13'!AC$16/'AEO 2018_Table 13'!$C$16)</f>
        <v>19.324603208551824</v>
      </c>
      <c r="AD37" s="195">
        <f>IF(AC37="","",$B37*'AEO 2018_Table 13'!AD$16/'AEO 2018_Table 13'!$C$16)</f>
        <v>19.454276554332029</v>
      </c>
      <c r="AE37" s="195">
        <f>IF(AD37="","",$B37*'AEO 2018_Table 13'!AE$16/'AEO 2018_Table 13'!$C$16)</f>
        <v>19.579587447116747</v>
      </c>
      <c r="AF37" s="195">
        <f>IF(AE37="","",$B37*'AEO 2018_Table 13'!AF$16/'AEO 2018_Table 13'!$C$16)</f>
        <v>19.678000343168151</v>
      </c>
      <c r="AG37" s="195">
        <f>IF(AF37="","",$B37*'AEO 2018_Table 13'!AG$16/'AEO 2018_Table 13'!$C$16)</f>
        <v>19.819041599805743</v>
      </c>
      <c r="AH37" s="195">
        <f>IF(AG37="","",$B37*'AEO 2018_Table 13'!AH$16/'AEO 2018_Table 13'!$C$16)</f>
        <v>19.968577110546171</v>
      </c>
      <c r="AI37" s="195">
        <f>IF(AH37="","",$B37*'AEO 2018_Table 13'!AI$16/'AEO 2018_Table 13'!$C$16)</f>
        <v>20.122483142352266</v>
      </c>
      <c r="AJ37" s="195">
        <f>IF(AI37="","",$B37*'AEO 2018_Table 13'!AJ$16/'AEO 2018_Table 13'!$C$16)</f>
        <v>20.217566772981193</v>
      </c>
      <c r="AK37" s="195">
        <f>IF(AJ37="","",$B37*'AEO 2018_Table 13'!AK$16/'AEO 2018_Table 13'!$C$16)</f>
        <v>20.397499924535527</v>
      </c>
    </row>
    <row r="38" spans="1:37" x14ac:dyDescent="0.25">
      <c r="A38" s="207" t="s">
        <v>1198</v>
      </c>
      <c r="B38" s="191"/>
      <c r="C38" s="191" t="str">
        <f>IF(B38="","",$B38*'AEO 2018_Table 13'!C$16/'AEO 2018_Table 13'!$C$16)</f>
        <v/>
      </c>
      <c r="D38" s="191" t="str">
        <f>IF(C38="","",$B38*'AEO 2018_Table 13'!D$16/'AEO 2018_Table 13'!$C$16)</f>
        <v/>
      </c>
      <c r="E38" s="191" t="str">
        <f>IF(D38="","",$B38*'AEO 2018_Table 13'!E$16/'AEO 2018_Table 13'!$C$16)</f>
        <v/>
      </c>
      <c r="F38" s="191" t="str">
        <f>IF(E38="","",$B38*'AEO 2018_Table 13'!F$16/'AEO 2018_Table 13'!$C$16)</f>
        <v/>
      </c>
      <c r="G38" s="191" t="str">
        <f>IF(F38="","",$B38*'AEO 2018_Table 13'!G$16/'AEO 2018_Table 13'!$C$16)</f>
        <v/>
      </c>
      <c r="H38" s="191" t="str">
        <f>IF(G38="","",$B38*'AEO 2018_Table 13'!H$16/'AEO 2018_Table 13'!$C$16)</f>
        <v/>
      </c>
      <c r="I38" s="191" t="str">
        <f>IF(H38="","",$B38*'AEO 2018_Table 13'!I$16/'AEO 2018_Table 13'!$C$16)</f>
        <v/>
      </c>
      <c r="J38" s="191" t="str">
        <f>IF(I38="","",$B38*'AEO 2018_Table 13'!J$16/'AEO 2018_Table 13'!$C$16)</f>
        <v/>
      </c>
      <c r="K38" s="191" t="str">
        <f>IF(J38="","",$B38*'AEO 2018_Table 13'!K$16/'AEO 2018_Table 13'!$C$16)</f>
        <v/>
      </c>
      <c r="L38" s="191" t="str">
        <f>IF(K38="","",$B38*'AEO 2018_Table 13'!L$16/'AEO 2018_Table 13'!$C$16)</f>
        <v/>
      </c>
      <c r="M38" s="191" t="str">
        <f>IF(L38="","",$B38*'AEO 2018_Table 13'!M$16/'AEO 2018_Table 13'!$C$16)</f>
        <v/>
      </c>
      <c r="N38" s="191" t="str">
        <f>IF(M38="","",$B38*'AEO 2018_Table 13'!N$16/'AEO 2018_Table 13'!$C$16)</f>
        <v/>
      </c>
      <c r="O38" s="191" t="str">
        <f>IF(N38="","",$B38*'AEO 2018_Table 13'!O$16/'AEO 2018_Table 13'!$C$16)</f>
        <v/>
      </c>
      <c r="P38" s="191" t="str">
        <f>IF(O38="","",$B38*'AEO 2018_Table 13'!P$16/'AEO 2018_Table 13'!$C$16)</f>
        <v/>
      </c>
      <c r="Q38" s="191" t="str">
        <f>IF(P38="","",$B38*'AEO 2018_Table 13'!Q$16/'AEO 2018_Table 13'!$C$16)</f>
        <v/>
      </c>
      <c r="R38" s="191" t="str">
        <f>IF(Q38="","",$B38*'AEO 2018_Table 13'!R$16/'AEO 2018_Table 13'!$C$16)</f>
        <v/>
      </c>
      <c r="S38" s="191" t="str">
        <f>IF(R38="","",$B38*'AEO 2018_Table 13'!S$16/'AEO 2018_Table 13'!$C$16)</f>
        <v/>
      </c>
      <c r="T38" s="191" t="str">
        <f>IF(S38="","",$B38*'AEO 2018_Table 13'!T$16/'AEO 2018_Table 13'!$C$16)</f>
        <v/>
      </c>
      <c r="U38" s="191" t="str">
        <f>IF(T38="","",$B38*'AEO 2018_Table 13'!U$16/'AEO 2018_Table 13'!$C$16)</f>
        <v/>
      </c>
      <c r="V38" s="191" t="str">
        <f>IF(U38="","",$B38*'AEO 2018_Table 13'!V$16/'AEO 2018_Table 13'!$C$16)</f>
        <v/>
      </c>
      <c r="W38" s="191" t="str">
        <f>IF(V38="","",$B38*'AEO 2018_Table 13'!W$16/'AEO 2018_Table 13'!$C$16)</f>
        <v/>
      </c>
      <c r="X38" s="191" t="str">
        <f>IF(W38="","",$B38*'AEO 2018_Table 13'!X$16/'AEO 2018_Table 13'!$C$16)</f>
        <v/>
      </c>
      <c r="Y38" s="191" t="str">
        <f>IF(X38="","",$B38*'AEO 2018_Table 13'!Y$16/'AEO 2018_Table 13'!$C$16)</f>
        <v/>
      </c>
      <c r="Z38" s="191" t="str">
        <f>IF(Y38="","",$B38*'AEO 2018_Table 13'!Z$16/'AEO 2018_Table 13'!$C$16)</f>
        <v/>
      </c>
      <c r="AA38" s="191" t="str">
        <f>IF(Z38="","",$B38*'AEO 2018_Table 13'!AA$16/'AEO 2018_Table 13'!$C$16)</f>
        <v/>
      </c>
      <c r="AB38" s="191" t="str">
        <f>IF(AA38="","",$B38*'AEO 2018_Table 13'!AB$16/'AEO 2018_Table 13'!$C$16)</f>
        <v/>
      </c>
      <c r="AC38" s="191" t="str">
        <f>IF(AB38="","",$B38*'AEO 2018_Table 13'!AC$16/'AEO 2018_Table 13'!$C$16)</f>
        <v/>
      </c>
      <c r="AD38" s="191" t="str">
        <f>IF(AC38="","",$B38*'AEO 2018_Table 13'!AD$16/'AEO 2018_Table 13'!$C$16)</f>
        <v/>
      </c>
      <c r="AE38" s="191" t="str">
        <f>IF(AD38="","",$B38*'AEO 2018_Table 13'!AE$16/'AEO 2018_Table 13'!$C$16)</f>
        <v/>
      </c>
      <c r="AF38" s="191" t="str">
        <f>IF(AE38="","",$B38*'AEO 2018_Table 13'!AF$16/'AEO 2018_Table 13'!$C$16)</f>
        <v/>
      </c>
      <c r="AG38" s="191" t="str">
        <f>IF(AF38="","",$B38*'AEO 2018_Table 13'!AG$16/'AEO 2018_Table 13'!$C$16)</f>
        <v/>
      </c>
      <c r="AH38" s="191" t="str">
        <f>IF(AG38="","",$B38*'AEO 2018_Table 13'!AH$16/'AEO 2018_Table 13'!$C$16)</f>
        <v/>
      </c>
      <c r="AI38" s="191" t="str">
        <f>IF(AH38="","",$B38*'AEO 2018_Table 13'!AI$16/'AEO 2018_Table 13'!$C$16)</f>
        <v/>
      </c>
      <c r="AJ38" s="191" t="str">
        <f>IF(AI38="","",$B38*'AEO 2018_Table 13'!AJ$16/'AEO 2018_Table 13'!$C$16)</f>
        <v/>
      </c>
      <c r="AK38" s="191" t="str">
        <f>IF(AJ38="","",$B38*'AEO 2018_Table 13'!AK$16/'AEO 2018_Table 13'!$C$16)</f>
        <v/>
      </c>
    </row>
    <row r="39" spans="1:37" x14ac:dyDescent="0.25">
      <c r="A39" s="208" t="s">
        <v>1199</v>
      </c>
      <c r="B39" s="193">
        <v>1020.2464450164858</v>
      </c>
      <c r="C39" s="193">
        <f>IF(B39="","",$B39*'AEO 2018_Table 13'!C$16/'AEO 2018_Table 13'!$C$16)</f>
        <v>1020.2464450164858</v>
      </c>
      <c r="D39" s="193">
        <f>IF(C39="","",$B39*'AEO 2018_Table 13'!D$16/'AEO 2018_Table 13'!$C$16)</f>
        <v>1026.2719692282813</v>
      </c>
      <c r="E39" s="193">
        <f>IF(D39="","",$B39*'AEO 2018_Table 13'!E$16/'AEO 2018_Table 13'!$C$16)</f>
        <v>1096.6797182230316</v>
      </c>
      <c r="F39" s="193">
        <f>IF(E39="","",$B39*'AEO 2018_Table 13'!F$16/'AEO 2018_Table 13'!$C$16)</f>
        <v>1181.2236884690662</v>
      </c>
      <c r="G39" s="193">
        <f>IF(F39="","",$B39*'AEO 2018_Table 13'!G$16/'AEO 2018_Table 13'!$C$16)</f>
        <v>1236.9440328395281</v>
      </c>
      <c r="H39" s="193">
        <f>IF(G39="","",$B39*'AEO 2018_Table 13'!H$16/'AEO 2018_Table 13'!$C$16)</f>
        <v>1253.1620942170607</v>
      </c>
      <c r="I39" s="193">
        <f>IF(H39="","",$B39*'AEO 2018_Table 13'!I$16/'AEO 2018_Table 13'!$C$16)</f>
        <v>1281.735691741075</v>
      </c>
      <c r="J39" s="193">
        <f>IF(I39="","",$B39*'AEO 2018_Table 13'!J$16/'AEO 2018_Table 13'!$C$16)</f>
        <v>1310.6186245537183</v>
      </c>
      <c r="K39" s="193">
        <f>IF(J39="","",$B39*'AEO 2018_Table 13'!K$16/'AEO 2018_Table 13'!$C$16)</f>
        <v>1332.2694058735919</v>
      </c>
      <c r="L39" s="193">
        <f>IF(K39="","",$B39*'AEO 2018_Table 13'!L$16/'AEO 2018_Table 13'!$C$16)</f>
        <v>1355.2380812567594</v>
      </c>
      <c r="M39" s="193">
        <f>IF(L39="","",$B39*'AEO 2018_Table 13'!M$16/'AEO 2018_Table 13'!$C$16)</f>
        <v>1372.2943170476028</v>
      </c>
      <c r="N39" s="193">
        <f>IF(M39="","",$B39*'AEO 2018_Table 13'!N$16/'AEO 2018_Table 13'!$C$16)</f>
        <v>1394.358315474997</v>
      </c>
      <c r="O39" s="193">
        <f>IF(N39="","",$B39*'AEO 2018_Table 13'!O$16/'AEO 2018_Table 13'!$C$16)</f>
        <v>1414.4770387921558</v>
      </c>
      <c r="P39" s="193">
        <f>IF(O39="","",$B39*'AEO 2018_Table 13'!P$16/'AEO 2018_Table 13'!$C$16)</f>
        <v>1426.358422414932</v>
      </c>
      <c r="Q39" s="193">
        <f>IF(P39="","",$B39*'AEO 2018_Table 13'!Q$16/'AEO 2018_Table 13'!$C$16)</f>
        <v>1432.6575311180416</v>
      </c>
      <c r="R39" s="193">
        <f>IF(Q39="","",$B39*'AEO 2018_Table 13'!R$16/'AEO 2018_Table 13'!$C$16)</f>
        <v>1439.2966132401052</v>
      </c>
      <c r="S39" s="193">
        <f>IF(R39="","",$B39*'AEO 2018_Table 13'!S$16/'AEO 2018_Table 13'!$C$16)</f>
        <v>1443.5522078835791</v>
      </c>
      <c r="T39" s="193">
        <f>IF(S39="","",$B39*'AEO 2018_Table 13'!T$16/'AEO 2018_Table 13'!$C$16)</f>
        <v>1448.5687567330287</v>
      </c>
      <c r="U39" s="193">
        <f>IF(T39="","",$B39*'AEO 2018_Table 13'!U$16/'AEO 2018_Table 13'!$C$16)</f>
        <v>1459.8168134665134</v>
      </c>
      <c r="V39" s="193">
        <f>IF(U39="","",$B39*'AEO 2018_Table 13'!V$16/'AEO 2018_Table 13'!$C$16)</f>
        <v>1466.4106390178245</v>
      </c>
      <c r="W39" s="193">
        <f>IF(V39="","",$B39*'AEO 2018_Table 13'!W$16/'AEO 2018_Table 13'!$C$16)</f>
        <v>1477.6533558546762</v>
      </c>
      <c r="X39" s="193">
        <f>IF(W39="","",$B39*'AEO 2018_Table 13'!X$16/'AEO 2018_Table 13'!$C$16)</f>
        <v>1491.2216923541257</v>
      </c>
      <c r="Y39" s="193">
        <f>IF(X39="","",$B39*'AEO 2018_Table 13'!Y$16/'AEO 2018_Table 13'!$C$16)</f>
        <v>1498.5881744380756</v>
      </c>
      <c r="Z39" s="193">
        <f>IF(Y39="","",$B39*'AEO 2018_Table 13'!Z$16/'AEO 2018_Table 13'!$C$16)</f>
        <v>1508.0722474455888</v>
      </c>
      <c r="AA39" s="193">
        <f>IF(Z39="","",$B39*'AEO 2018_Table 13'!AA$16/'AEO 2018_Table 13'!$C$16)</f>
        <v>1520.7237880749208</v>
      </c>
      <c r="AB39" s="193">
        <f>IF(AA39="","",$B39*'AEO 2018_Table 13'!AB$16/'AEO 2018_Table 13'!$C$16)</f>
        <v>1530.1626802548951</v>
      </c>
      <c r="AC39" s="193">
        <f>IF(AB39="","",$B39*'AEO 2018_Table 13'!AC$16/'AEO 2018_Table 13'!$C$16)</f>
        <v>1542.0681880915376</v>
      </c>
      <c r="AD39" s="193">
        <f>IF(AC39="","",$B39*'AEO 2018_Table 13'!AD$16/'AEO 2018_Table 13'!$C$16)</f>
        <v>1552.4158852324836</v>
      </c>
      <c r="AE39" s="193">
        <f>IF(AD39="","",$B39*'AEO 2018_Table 13'!AE$16/'AEO 2018_Table 13'!$C$16)</f>
        <v>1562.415466558901</v>
      </c>
      <c r="AF39" s="193">
        <f>IF(AE39="","",$B39*'AEO 2018_Table 13'!AF$16/'AEO 2018_Table 13'!$C$16)</f>
        <v>1570.2686366685814</v>
      </c>
      <c r="AG39" s="193">
        <f>IF(AF39="","",$B39*'AEO 2018_Table 13'!AG$16/'AEO 2018_Table 13'!$C$16)</f>
        <v>1581.5234724197774</v>
      </c>
      <c r="AH39" s="193">
        <f>IF(AG39="","",$B39*'AEO 2018_Table 13'!AH$16/'AEO 2018_Table 13'!$C$16)</f>
        <v>1593.4561341988713</v>
      </c>
      <c r="AI39" s="193">
        <f>IF(AH39="","",$B39*'AEO 2018_Table 13'!AI$16/'AEO 2018_Table 13'!$C$16)</f>
        <v>1605.7375556098186</v>
      </c>
      <c r="AJ39" s="193">
        <f>IF(AI39="","",$B39*'AEO 2018_Table 13'!AJ$16/'AEO 2018_Table 13'!$C$16)</f>
        <v>1613.325056394116</v>
      </c>
      <c r="AK39" s="193">
        <f>IF(AJ39="","",$B39*'AEO 2018_Table 13'!AK$16/'AEO 2018_Table 13'!$C$16)</f>
        <v>1627.6833946223596</v>
      </c>
    </row>
    <row r="40" spans="1:37" x14ac:dyDescent="0.25">
      <c r="A40" s="209" t="s">
        <v>1200</v>
      </c>
      <c r="B40" s="210">
        <v>30.316440593757711</v>
      </c>
      <c r="C40" s="210">
        <f>IF(B40="","",$B40*'AEO 2018_Table 13'!C$16/'AEO 2018_Table 13'!$C$16)</f>
        <v>30.316440593757711</v>
      </c>
      <c r="D40" s="210">
        <f>IF(C40="","",$B40*'AEO 2018_Table 13'!D$16/'AEO 2018_Table 13'!$C$16)</f>
        <v>30.495487967757821</v>
      </c>
      <c r="E40" s="210">
        <f>IF(D40="","",$B40*'AEO 2018_Table 13'!E$16/'AEO 2018_Table 13'!$C$16)</f>
        <v>32.5876416333411</v>
      </c>
      <c r="F40" s="210">
        <f>IF(E40="","",$B40*'AEO 2018_Table 13'!F$16/'AEO 2018_Table 13'!$C$16)</f>
        <v>35.099850584466544</v>
      </c>
      <c r="G40" s="210">
        <f>IF(F40="","",$B40*'AEO 2018_Table 13'!G$16/'AEO 2018_Table 13'!$C$16)</f>
        <v>36.755570649184371</v>
      </c>
      <c r="H40" s="210">
        <f>IF(G40="","",$B40*'AEO 2018_Table 13'!H$16/'AEO 2018_Table 13'!$C$16)</f>
        <v>37.23748744164125</v>
      </c>
      <c r="I40" s="210">
        <f>IF(H40="","",$B40*'AEO 2018_Table 13'!I$16/'AEO 2018_Table 13'!$C$16)</f>
        <v>38.086546780311842</v>
      </c>
      <c r="J40" s="210">
        <f>IF(I40="","",$B40*'AEO 2018_Table 13'!J$16/'AEO 2018_Table 13'!$C$16)</f>
        <v>38.944797961744619</v>
      </c>
      <c r="K40" s="210">
        <f>IF(J40="","",$B40*'AEO 2018_Table 13'!K$16/'AEO 2018_Table 13'!$C$16)</f>
        <v>39.588147055386194</v>
      </c>
      <c r="L40" s="210">
        <f>IF(K40="","",$B40*'AEO 2018_Table 13'!L$16/'AEO 2018_Table 13'!$C$16)</f>
        <v>40.270657135350113</v>
      </c>
      <c r="M40" s="210">
        <f>IF(L40="","",$B40*'AEO 2018_Table 13'!M$16/'AEO 2018_Table 13'!$C$16)</f>
        <v>40.777480130550913</v>
      </c>
      <c r="N40" s="210">
        <f>IF(M40="","",$B40*'AEO 2018_Table 13'!N$16/'AEO 2018_Table 13'!$C$16)</f>
        <v>41.4331078966188</v>
      </c>
      <c r="O40" s="210">
        <f>IF(N40="","",$B40*'AEO 2018_Table 13'!O$16/'AEO 2018_Table 13'!$C$16)</f>
        <v>42.0309321607916</v>
      </c>
      <c r="P40" s="210">
        <f>IF(O40="","",$B40*'AEO 2018_Table 13'!P$16/'AEO 2018_Table 13'!$C$16)</f>
        <v>42.383985349588272</v>
      </c>
      <c r="Q40" s="210">
        <f>IF(P40="","",$B40*'AEO 2018_Table 13'!Q$16/'AEO 2018_Table 13'!$C$16)</f>
        <v>42.571162237804096</v>
      </c>
      <c r="R40" s="210">
        <f>IF(Q40="","",$B40*'AEO 2018_Table 13'!R$16/'AEO 2018_Table 13'!$C$16)</f>
        <v>42.76844137534362</v>
      </c>
      <c r="S40" s="210">
        <f>IF(R40="","",$B40*'AEO 2018_Table 13'!S$16/'AEO 2018_Table 13'!$C$16)</f>
        <v>42.894895608857674</v>
      </c>
      <c r="T40" s="210">
        <f>IF(S40="","",$B40*'AEO 2018_Table 13'!T$16/'AEO 2018_Table 13'!$C$16)</f>
        <v>43.043961460469212</v>
      </c>
      <c r="U40" s="210">
        <f>IF(T40="","",$B40*'AEO 2018_Table 13'!U$16/'AEO 2018_Table 13'!$C$16)</f>
        <v>43.378195454051408</v>
      </c>
      <c r="V40" s="210">
        <f>IF(U40="","",$B40*'AEO 2018_Table 13'!V$16/'AEO 2018_Table 13'!$C$16)</f>
        <v>43.574129800687317</v>
      </c>
      <c r="W40" s="210">
        <f>IF(V40="","",$B40*'AEO 2018_Table 13'!W$16/'AEO 2018_Table 13'!$C$16)</f>
        <v>43.908205120196378</v>
      </c>
      <c r="X40" s="210">
        <f>IF(W40="","",$B40*'AEO 2018_Table 13'!X$16/'AEO 2018_Table 13'!$C$16)</f>
        <v>44.311385811931139</v>
      </c>
      <c r="Y40" s="210">
        <f>IF(X40="","",$B40*'AEO 2018_Table 13'!Y$16/'AEO 2018_Table 13'!$C$16)</f>
        <v>44.530279509207816</v>
      </c>
      <c r="Z40" s="210">
        <f>IF(Y40="","",$B40*'AEO 2018_Table 13'!Z$16/'AEO 2018_Table 13'!$C$16)</f>
        <v>44.812097041945684</v>
      </c>
      <c r="AA40" s="210">
        <f>IF(Z40="","",$B40*'AEO 2018_Table 13'!AA$16/'AEO 2018_Table 13'!$C$16)</f>
        <v>45.188035308412722</v>
      </c>
      <c r="AB40" s="210">
        <f>IF(AA40="","",$B40*'AEO 2018_Table 13'!AB$16/'AEO 2018_Table 13'!$C$16)</f>
        <v>45.468510300943045</v>
      </c>
      <c r="AC40" s="210">
        <f>IF(AB40="","",$B40*'AEO 2018_Table 13'!AC$16/'AEO 2018_Table 13'!$C$16)</f>
        <v>45.822280336438979</v>
      </c>
      <c r="AD40" s="210">
        <f>IF(AC40="","",$B40*'AEO 2018_Table 13'!AD$16/'AEO 2018_Table 13'!$C$16)</f>
        <v>46.129760305801305</v>
      </c>
      <c r="AE40" s="210">
        <f>IF(AD40="","",$B40*'AEO 2018_Table 13'!AE$16/'AEO 2018_Table 13'!$C$16)</f>
        <v>46.426896076012078</v>
      </c>
      <c r="AF40" s="210">
        <f>IF(AE40="","",$B40*'AEO 2018_Table 13'!AF$16/'AEO 2018_Table 13'!$C$16)</f>
        <v>46.660251620905889</v>
      </c>
      <c r="AG40" s="210">
        <f>IF(AF40="","",$B40*'AEO 2018_Table 13'!AG$16/'AEO 2018_Table 13'!$C$16)</f>
        <v>46.994687051786627</v>
      </c>
      <c r="AH40" s="210">
        <f>IF(AG40="","",$B40*'AEO 2018_Table 13'!AH$16/'AEO 2018_Table 13'!$C$16)</f>
        <v>47.349263961824732</v>
      </c>
      <c r="AI40" s="210">
        <f>IF(AH40="","",$B40*'AEO 2018_Table 13'!AI$16/'AEO 2018_Table 13'!$C$16)</f>
        <v>47.714204201931018</v>
      </c>
      <c r="AJ40" s="210">
        <f>IF(AI40="","",$B40*'AEO 2018_Table 13'!AJ$16/'AEO 2018_Table 13'!$C$16)</f>
        <v>47.939665430348747</v>
      </c>
      <c r="AK40" s="210">
        <f>IF(AJ40="","",$B40*'AEO 2018_Table 13'!AK$16/'AEO 2018_Table 13'!$C$16)</f>
        <v>48.366320882124995</v>
      </c>
    </row>
    <row r="41" spans="1:37" x14ac:dyDescent="0.25">
      <c r="A41" s="209" t="s">
        <v>1201</v>
      </c>
      <c r="B41" s="210">
        <v>94.721423623784418</v>
      </c>
      <c r="C41" s="210">
        <f>IF(B41="","",$B41*'AEO 2018_Table 13'!C$16/'AEO 2018_Table 13'!$C$16)</f>
        <v>94.721423623784418</v>
      </c>
      <c r="D41" s="210">
        <f>IF(C41="","",$B41*'AEO 2018_Table 13'!D$16/'AEO 2018_Table 13'!$C$16)</f>
        <v>95.280843589625746</v>
      </c>
      <c r="E41" s="210">
        <f>IF(D41="","",$B41*'AEO 2018_Table 13'!E$16/'AEO 2018_Table 13'!$C$16)</f>
        <v>101.81761933778436</v>
      </c>
      <c r="F41" s="210">
        <f>IF(E41="","",$B41*'AEO 2018_Table 13'!F$16/'AEO 2018_Table 13'!$C$16)</f>
        <v>109.66682602664656</v>
      </c>
      <c r="G41" s="210">
        <f>IF(F41="","",$B41*'AEO 2018_Table 13'!G$16/'AEO 2018_Table 13'!$C$16)</f>
        <v>114.83999802774319</v>
      </c>
      <c r="H41" s="210">
        <f>IF(G41="","",$B41*'AEO 2018_Table 13'!H$16/'AEO 2018_Table 13'!$C$16)</f>
        <v>116.34571056376969</v>
      </c>
      <c r="I41" s="210">
        <f>IF(H41="","",$B41*'AEO 2018_Table 13'!I$16/'AEO 2018_Table 13'!$C$16)</f>
        <v>118.99853219206163</v>
      </c>
      <c r="J41" s="210">
        <f>IF(I41="","",$B41*'AEO 2018_Table 13'!J$16/'AEO 2018_Table 13'!$C$16)</f>
        <v>121.68007303722426</v>
      </c>
      <c r="K41" s="210">
        <f>IF(J41="","",$B41*'AEO 2018_Table 13'!K$16/'AEO 2018_Table 13'!$C$16)</f>
        <v>123.69016857757434</v>
      </c>
      <c r="L41" s="210">
        <f>IF(K41="","",$B41*'AEO 2018_Table 13'!L$16/'AEO 2018_Table 13'!$C$16)</f>
        <v>125.82261965512851</v>
      </c>
      <c r="M41" s="210">
        <f>IF(L41="","",$B41*'AEO 2018_Table 13'!M$16/'AEO 2018_Table 13'!$C$16)</f>
        <v>127.40614973618214</v>
      </c>
      <c r="N41" s="210">
        <f>IF(M41="","",$B41*'AEO 2018_Table 13'!N$16/'AEO 2018_Table 13'!$C$16)</f>
        <v>129.45460905900973</v>
      </c>
      <c r="O41" s="210">
        <f>IF(N41="","",$B41*'AEO 2018_Table 13'!O$16/'AEO 2018_Table 13'!$C$16)</f>
        <v>131.32246571599961</v>
      </c>
      <c r="P41" s="210">
        <f>IF(O41="","",$B41*'AEO 2018_Table 13'!P$16/'AEO 2018_Table 13'!$C$16)</f>
        <v>132.42555367760627</v>
      </c>
      <c r="Q41" s="210">
        <f>IF(P41="","",$B41*'AEO 2018_Table 13'!Q$16/'AEO 2018_Table 13'!$C$16)</f>
        <v>133.01037369519511</v>
      </c>
      <c r="R41" s="210">
        <f>IF(Q41="","",$B41*'AEO 2018_Table 13'!R$16/'AEO 2018_Table 13'!$C$16)</f>
        <v>133.62675742603668</v>
      </c>
      <c r="S41" s="210">
        <f>IF(R41="","",$B41*'AEO 2018_Table 13'!S$16/'AEO 2018_Table 13'!$C$16)</f>
        <v>134.02185410582865</v>
      </c>
      <c r="T41" s="210">
        <f>IF(S41="","",$B41*'AEO 2018_Table 13'!T$16/'AEO 2018_Table 13'!$C$16)</f>
        <v>134.48759907462437</v>
      </c>
      <c r="U41" s="210">
        <f>IF(T41="","",$B41*'AEO 2018_Table 13'!U$16/'AEO 2018_Table 13'!$C$16)</f>
        <v>135.53188788543179</v>
      </c>
      <c r="V41" s="210">
        <f>IF(U41="","",$B41*'AEO 2018_Table 13'!V$16/'AEO 2018_Table 13'!$C$16)</f>
        <v>136.14406991889817</v>
      </c>
      <c r="W41" s="210">
        <f>IF(V41="","",$B41*'AEO 2018_Table 13'!W$16/'AEO 2018_Table 13'!$C$16)</f>
        <v>137.18786296457597</v>
      </c>
      <c r="X41" s="210">
        <f>IF(W41="","",$B41*'AEO 2018_Table 13'!X$16/'AEO 2018_Table 13'!$C$16)</f>
        <v>138.4475705143667</v>
      </c>
      <c r="Y41" s="210">
        <f>IF(X41="","",$B41*'AEO 2018_Table 13'!Y$16/'AEO 2018_Table 13'!$C$16)</f>
        <v>139.13148730084427</v>
      </c>
      <c r="Z41" s="210">
        <f>IF(Y41="","",$B41*'AEO 2018_Table 13'!Z$16/'AEO 2018_Table 13'!$C$16)</f>
        <v>140.01200484776794</v>
      </c>
      <c r="AA41" s="210">
        <f>IF(Z41="","",$B41*'AEO 2018_Table 13'!AA$16/'AEO 2018_Table 13'!$C$16)</f>
        <v>141.18659550211237</v>
      </c>
      <c r="AB41" s="210">
        <f>IF(AA41="","",$B41*'AEO 2018_Table 13'!AB$16/'AEO 2018_Table 13'!$C$16)</f>
        <v>142.06291838379039</v>
      </c>
      <c r="AC41" s="210">
        <f>IF(AB41="","",$B41*'AEO 2018_Table 13'!AC$16/'AEO 2018_Table 13'!$C$16)</f>
        <v>143.16824607864226</v>
      </c>
      <c r="AD41" s="210">
        <f>IF(AC41="","",$B41*'AEO 2018_Table 13'!AD$16/'AEO 2018_Table 13'!$C$16)</f>
        <v>144.12894396610446</v>
      </c>
      <c r="AE41" s="210">
        <f>IF(AD41="","",$B41*'AEO 2018_Table 13'!AE$16/'AEO 2018_Table 13'!$C$16)</f>
        <v>145.05732218639298</v>
      </c>
      <c r="AF41" s="210">
        <f>IF(AE41="","",$B41*'AEO 2018_Table 13'!AF$16/'AEO 2018_Table 13'!$C$16)</f>
        <v>145.78642392096128</v>
      </c>
      <c r="AG41" s="210">
        <f>IF(AF41="","",$B41*'AEO 2018_Table 13'!AG$16/'AEO 2018_Table 13'!$C$16)</f>
        <v>146.83134210735878</v>
      </c>
      <c r="AH41" s="210">
        <f>IF(AG41="","",$B41*'AEO 2018_Table 13'!AH$16/'AEO 2018_Table 13'!$C$16)</f>
        <v>147.93919082063573</v>
      </c>
      <c r="AI41" s="210">
        <f>IF(AH41="","",$B41*'AEO 2018_Table 13'!AI$16/'AEO 2018_Table 13'!$C$16)</f>
        <v>149.07941897418721</v>
      </c>
      <c r="AJ41" s="210">
        <f>IF(AI41="","",$B41*'AEO 2018_Table 13'!AJ$16/'AEO 2018_Table 13'!$C$16)</f>
        <v>149.78385551454053</v>
      </c>
      <c r="AK41" s="210">
        <f>IF(AJ41="","",$B41*'AEO 2018_Table 13'!AK$16/'AEO 2018_Table 13'!$C$16)</f>
        <v>151.11690817499755</v>
      </c>
    </row>
    <row r="42" spans="1:37" x14ac:dyDescent="0.25">
      <c r="A42" s="209" t="s">
        <v>1202</v>
      </c>
      <c r="B42" s="210">
        <v>895.20858079894367</v>
      </c>
      <c r="C42" s="210">
        <f>IF(B42="","",$B42*'AEO 2018_Table 13'!C$16/'AEO 2018_Table 13'!$C$16)</f>
        <v>895.20858079894379</v>
      </c>
      <c r="D42" s="210">
        <f>IF(C42="","",$B42*'AEO 2018_Table 13'!D$16/'AEO 2018_Table 13'!$C$16)</f>
        <v>900.49563767089774</v>
      </c>
      <c r="E42" s="210">
        <f>IF(D42="","",$B42*'AEO 2018_Table 13'!E$16/'AEO 2018_Table 13'!$C$16)</f>
        <v>962.27445725190614</v>
      </c>
      <c r="F42" s="210">
        <f>IF(E42="","",$B42*'AEO 2018_Table 13'!F$16/'AEO 2018_Table 13'!$C$16)</f>
        <v>1036.4570118579531</v>
      </c>
      <c r="G42" s="210">
        <f>IF(F42="","",$B42*'AEO 2018_Table 13'!G$16/'AEO 2018_Table 13'!$C$16)</f>
        <v>1085.3484641626005</v>
      </c>
      <c r="H42" s="210">
        <f>IF(G42="","",$B42*'AEO 2018_Table 13'!H$16/'AEO 2018_Table 13'!$C$16)</f>
        <v>1099.5788962116496</v>
      </c>
      <c r="I42" s="210">
        <f>IF(H42="","",$B42*'AEO 2018_Table 13'!I$16/'AEO 2018_Table 13'!$C$16)</f>
        <v>1124.6506127687014</v>
      </c>
      <c r="J42" s="210">
        <f>IF(I42="","",$B42*'AEO 2018_Table 13'!J$16/'AEO 2018_Table 13'!$C$16)</f>
        <v>1149.9937535547492</v>
      </c>
      <c r="K42" s="210">
        <f>IF(J42="","",$B42*'AEO 2018_Table 13'!K$16/'AEO 2018_Table 13'!$C$16)</f>
        <v>1168.9910902406314</v>
      </c>
      <c r="L42" s="210">
        <f>IF(K42="","",$B42*'AEO 2018_Table 13'!L$16/'AEO 2018_Table 13'!$C$16)</f>
        <v>1189.1448044662807</v>
      </c>
      <c r="M42" s="210">
        <f>IF(L42="","",$B42*'AEO 2018_Table 13'!M$16/'AEO 2018_Table 13'!$C$16)</f>
        <v>1204.1106871808697</v>
      </c>
      <c r="N42" s="210">
        <f>IF(M42="","",$B42*'AEO 2018_Table 13'!N$16/'AEO 2018_Table 13'!$C$16)</f>
        <v>1223.4705985193684</v>
      </c>
      <c r="O42" s="210">
        <f>IF(N42="","",$B42*'AEO 2018_Table 13'!O$16/'AEO 2018_Table 13'!$C$16)</f>
        <v>1241.1236409153644</v>
      </c>
      <c r="P42" s="210">
        <f>IF(O42="","",$B42*'AEO 2018_Table 13'!P$16/'AEO 2018_Table 13'!$C$16)</f>
        <v>1251.5488833877373</v>
      </c>
      <c r="Q42" s="210">
        <f>IF(P42="","",$B42*'AEO 2018_Table 13'!Q$16/'AEO 2018_Table 13'!$C$16)</f>
        <v>1257.0759951850423</v>
      </c>
      <c r="R42" s="210">
        <f>IF(Q42="","",$B42*'AEO 2018_Table 13'!R$16/'AEO 2018_Table 13'!$C$16)</f>
        <v>1262.9014144387249</v>
      </c>
      <c r="S42" s="210">
        <f>IF(R42="","",$B42*'AEO 2018_Table 13'!S$16/'AEO 2018_Table 13'!$C$16)</f>
        <v>1266.6354581688929</v>
      </c>
      <c r="T42" s="210">
        <f>IF(S42="","",$B42*'AEO 2018_Table 13'!T$16/'AEO 2018_Table 13'!$C$16)</f>
        <v>1271.0371961979351</v>
      </c>
      <c r="U42" s="210">
        <f>IF(T42="","",$B42*'AEO 2018_Table 13'!U$16/'AEO 2018_Table 13'!$C$16)</f>
        <v>1280.9067301270302</v>
      </c>
      <c r="V42" s="210">
        <f>IF(U42="","",$B42*'AEO 2018_Table 13'!V$16/'AEO 2018_Table 13'!$C$16)</f>
        <v>1286.6924392982387</v>
      </c>
      <c r="W42" s="210">
        <f>IF(V42="","",$B42*'AEO 2018_Table 13'!W$16/'AEO 2018_Table 13'!$C$16)</f>
        <v>1296.5572877699037</v>
      </c>
      <c r="X42" s="210">
        <f>IF(W42="","",$B42*'AEO 2018_Table 13'!X$16/'AEO 2018_Table 13'!$C$16)</f>
        <v>1308.4627360278278</v>
      </c>
      <c r="Y42" s="210">
        <f>IF(X42="","",$B42*'AEO 2018_Table 13'!Y$16/'AEO 2018_Table 13'!$C$16)</f>
        <v>1314.9264076280235</v>
      </c>
      <c r="Z42" s="210">
        <f>IF(Y42="","",$B42*'AEO 2018_Table 13'!Z$16/'AEO 2018_Table 13'!$C$16)</f>
        <v>1323.2481455558748</v>
      </c>
      <c r="AA42" s="210">
        <f>IF(Z42="","",$B42*'AEO 2018_Table 13'!AA$16/'AEO 2018_Table 13'!$C$16)</f>
        <v>1334.3491572643957</v>
      </c>
      <c r="AB42" s="210">
        <f>IF(AA42="","",$B42*'AEO 2018_Table 13'!AB$16/'AEO 2018_Table 13'!$C$16)</f>
        <v>1342.6312515701618</v>
      </c>
      <c r="AC42" s="210">
        <f>IF(AB42="","",$B42*'AEO 2018_Table 13'!AC$16/'AEO 2018_Table 13'!$C$16)</f>
        <v>1353.0776616764563</v>
      </c>
      <c r="AD42" s="210">
        <f>IF(AC42="","",$B42*'AEO 2018_Table 13'!AD$16/'AEO 2018_Table 13'!$C$16)</f>
        <v>1362.1571809605778</v>
      </c>
      <c r="AE42" s="210">
        <f>IF(AD42="","",$B42*'AEO 2018_Table 13'!AE$16/'AEO 2018_Table 13'!$C$16)</f>
        <v>1370.9312482964958</v>
      </c>
      <c r="AF42" s="210">
        <f>IF(AE42="","",$B42*'AEO 2018_Table 13'!AF$16/'AEO 2018_Table 13'!$C$16)</f>
        <v>1377.8219611267143</v>
      </c>
      <c r="AG42" s="210">
        <f>IF(AF42="","",$B42*'AEO 2018_Table 13'!AG$16/'AEO 2018_Table 13'!$C$16)</f>
        <v>1387.6974432606319</v>
      </c>
      <c r="AH42" s="210">
        <f>IF(AG42="","",$B42*'AEO 2018_Table 13'!AH$16/'AEO 2018_Table 13'!$C$16)</f>
        <v>1398.1676794164107</v>
      </c>
      <c r="AI42" s="210">
        <f>IF(AH42="","",$B42*'AEO 2018_Table 13'!AI$16/'AEO 2018_Table 13'!$C$16)</f>
        <v>1408.9439324337004</v>
      </c>
      <c r="AJ42" s="210">
        <f>IF(AI42="","",$B42*'AEO 2018_Table 13'!AJ$16/'AEO 2018_Table 13'!$C$16)</f>
        <v>1415.6015354492267</v>
      </c>
      <c r="AK42" s="210">
        <f>IF(AJ42="","",$B42*'AEO 2018_Table 13'!AK$16/'AEO 2018_Table 13'!$C$16)</f>
        <v>1428.2001655652371</v>
      </c>
    </row>
    <row r="43" spans="1:37" x14ac:dyDescent="0.25">
      <c r="A43" s="209" t="s">
        <v>1203</v>
      </c>
      <c r="B43" s="210">
        <v>121.39771968651085</v>
      </c>
      <c r="C43" s="210">
        <f>IF(B43="","",$B43*'AEO 2018_Table 13'!C$16/'AEO 2018_Table 13'!$C$16)</f>
        <v>121.39771968651085</v>
      </c>
      <c r="D43" s="210">
        <f>IF(C43="","",$B43*'AEO 2018_Table 13'!D$16/'AEO 2018_Table 13'!$C$16)</f>
        <v>122.11468851575879</v>
      </c>
      <c r="E43" s="210">
        <f>IF(D43="","",$B43*'AEO 2018_Table 13'!E$16/'AEO 2018_Table 13'!$C$16)</f>
        <v>130.49240962223595</v>
      </c>
      <c r="F43" s="210">
        <f>IF(E43="","",$B43*'AEO 2018_Table 13'!F$16/'AEO 2018_Table 13'!$C$16)</f>
        <v>140.55218023084316</v>
      </c>
      <c r="G43" s="210">
        <f>IF(F43="","",$B43*'AEO 2018_Table 13'!G$16/'AEO 2018_Table 13'!$C$16)</f>
        <v>147.18226728457643</v>
      </c>
      <c r="H43" s="210">
        <f>IF(G43="","",$B43*'AEO 2018_Table 13'!H$16/'AEO 2018_Table 13'!$C$16)</f>
        <v>149.11203207678452</v>
      </c>
      <c r="I43" s="210">
        <f>IF(H43="","",$B43*'AEO 2018_Table 13'!I$16/'AEO 2018_Table 13'!$C$16)</f>
        <v>152.51196510237762</v>
      </c>
      <c r="J43" s="210">
        <f>IF(I43="","",$B43*'AEO 2018_Table 13'!J$16/'AEO 2018_Table 13'!$C$16)</f>
        <v>155.94870550803219</v>
      </c>
      <c r="K43" s="210">
        <f>IF(J43="","",$B43*'AEO 2018_Table 13'!K$16/'AEO 2018_Table 13'!$C$16)</f>
        <v>158.52490216571471</v>
      </c>
      <c r="L43" s="210">
        <f>IF(K43="","",$B43*'AEO 2018_Table 13'!L$16/'AEO 2018_Table 13'!$C$16)</f>
        <v>161.25791322334322</v>
      </c>
      <c r="M43" s="210">
        <f>IF(L43="","",$B43*'AEO 2018_Table 13'!M$16/'AEO 2018_Table 13'!$C$16)</f>
        <v>163.28741123488533</v>
      </c>
      <c r="N43" s="210">
        <f>IF(M43="","",$B43*'AEO 2018_Table 13'!N$16/'AEO 2018_Table 13'!$C$16)</f>
        <v>165.91277602722147</v>
      </c>
      <c r="O43" s="210">
        <f>IF(N43="","",$B43*'AEO 2018_Table 13'!O$16/'AEO 2018_Table 13'!$C$16)</f>
        <v>168.3066752126947</v>
      </c>
      <c r="P43" s="210">
        <f>IF(O43="","",$B43*'AEO 2018_Table 13'!P$16/'AEO 2018_Table 13'!$C$16)</f>
        <v>169.72042469015784</v>
      </c>
      <c r="Q43" s="210">
        <f>IF(P43="","",$B43*'AEO 2018_Table 13'!Q$16/'AEO 2018_Table 13'!$C$16)</f>
        <v>170.46994696132106</v>
      </c>
      <c r="R43" s="210">
        <f>IF(Q43="","",$B43*'AEO 2018_Table 13'!R$16/'AEO 2018_Table 13'!$C$16)</f>
        <v>171.25992220148666</v>
      </c>
      <c r="S43" s="210">
        <f>IF(R43="","",$B43*'AEO 2018_Table 13'!S$16/'AEO 2018_Table 13'!$C$16)</f>
        <v>171.76628954846581</v>
      </c>
      <c r="T43" s="210">
        <f>IF(S43="","",$B43*'AEO 2018_Table 13'!T$16/'AEO 2018_Table 13'!$C$16)</f>
        <v>172.36320178863471</v>
      </c>
      <c r="U43" s="210">
        <f>IF(T43="","",$B43*'AEO 2018_Table 13'!U$16/'AEO 2018_Table 13'!$C$16)</f>
        <v>173.70159257158664</v>
      </c>
      <c r="V43" s="210">
        <f>IF(U43="","",$B43*'AEO 2018_Table 13'!V$16/'AEO 2018_Table 13'!$C$16)</f>
        <v>174.48618279471341</v>
      </c>
      <c r="W43" s="210">
        <f>IF(V43="","",$B43*'AEO 2018_Table 13'!W$16/'AEO 2018_Table 13'!$C$16)</f>
        <v>175.82393819071768</v>
      </c>
      <c r="X43" s="210">
        <f>IF(W43="","",$B43*'AEO 2018_Table 13'!X$16/'AEO 2018_Table 13'!$C$16)</f>
        <v>177.43841586816336</v>
      </c>
      <c r="Y43" s="210">
        <f>IF(X43="","",$B43*'AEO 2018_Table 13'!Y$16/'AEO 2018_Table 13'!$C$16)</f>
        <v>178.31494342821637</v>
      </c>
      <c r="Z43" s="210">
        <f>IF(Y43="","",$B43*'AEO 2018_Table 13'!Z$16/'AEO 2018_Table 13'!$C$16)</f>
        <v>179.44344021649368</v>
      </c>
      <c r="AA43" s="210">
        <f>IF(Z43="","",$B43*'AEO 2018_Table 13'!AA$16/'AEO 2018_Table 13'!$C$16)</f>
        <v>180.94882961571611</v>
      </c>
      <c r="AB43" s="210">
        <f>IF(AA43="","",$B43*'AEO 2018_Table 13'!AB$16/'AEO 2018_Table 13'!$C$16)</f>
        <v>182.07195039953538</v>
      </c>
      <c r="AC43" s="210">
        <f>IF(AB43="","",$B43*'AEO 2018_Table 13'!AC$16/'AEO 2018_Table 13'!$C$16)</f>
        <v>183.48857038398916</v>
      </c>
      <c r="AD43" s="210">
        <f>IF(AC43="","",$B43*'AEO 2018_Table 13'!AD$16/'AEO 2018_Table 13'!$C$16)</f>
        <v>184.71982861875534</v>
      </c>
      <c r="AE43" s="210">
        <f>IF(AD43="","",$B43*'AEO 2018_Table 13'!AE$16/'AEO 2018_Table 13'!$C$16)</f>
        <v>185.90966503208119</v>
      </c>
      <c r="AF43" s="210">
        <f>IF(AE43="","",$B43*'AEO 2018_Table 13'!AF$16/'AEO 2018_Table 13'!$C$16)</f>
        <v>186.84410293018144</v>
      </c>
      <c r="AG43" s="210">
        <f>IF(AF43="","",$B43*'AEO 2018_Table 13'!AG$16/'AEO 2018_Table 13'!$C$16)</f>
        <v>188.18330033911661</v>
      </c>
      <c r="AH43" s="210">
        <f>IF(AG43="","",$B43*'AEO 2018_Table 13'!AH$16/'AEO 2018_Table 13'!$C$16)</f>
        <v>189.60315133379368</v>
      </c>
      <c r="AI43" s="210">
        <f>IF(AH43="","",$B43*'AEO 2018_Table 13'!AI$16/'AEO 2018_Table 13'!$C$16)</f>
        <v>191.06450075684808</v>
      </c>
      <c r="AJ43" s="210">
        <f>IF(AI43="","",$B43*'AEO 2018_Table 13'!AJ$16/'AEO 2018_Table 13'!$C$16)</f>
        <v>191.96732702772852</v>
      </c>
      <c r="AK43" s="210">
        <f>IF(AJ43="","",$B43*'AEO 2018_Table 13'!AK$16/'AEO 2018_Table 13'!$C$16)</f>
        <v>193.67580592310784</v>
      </c>
    </row>
    <row r="44" spans="1:37" x14ac:dyDescent="0.25">
      <c r="A44" s="212" t="s">
        <v>1204</v>
      </c>
      <c r="B44" s="196">
        <v>66.84136483251666</v>
      </c>
      <c r="C44" s="196">
        <f>IF(B44="","",$B44*'AEO 2018_Table 13'!C$16/'AEO 2018_Table 13'!$C$16)</f>
        <v>66.84136483251666</v>
      </c>
      <c r="D44" s="196">
        <f>IF(C44="","",$B44*'AEO 2018_Table 13'!D$16/'AEO 2018_Table 13'!$C$16)</f>
        <v>67.236126572795285</v>
      </c>
      <c r="E44" s="196">
        <f>IF(D44="","",$B44*'AEO 2018_Table 13'!E$16/'AEO 2018_Table 13'!$C$16)</f>
        <v>71.848884657454249</v>
      </c>
      <c r="F44" s="196">
        <f>IF(E44="","",$B44*'AEO 2018_Table 13'!F$16/'AEO 2018_Table 13'!$C$16)</f>
        <v>77.387776154903506</v>
      </c>
      <c r="G44" s="196">
        <f>IF(F44="","",$B44*'AEO 2018_Table 13'!G$16/'AEO 2018_Table 13'!$C$16)</f>
        <v>81.038290091856567</v>
      </c>
      <c r="H44" s="196">
        <f>IF(G44="","",$B44*'AEO 2018_Table 13'!H$16/'AEO 2018_Table 13'!$C$16)</f>
        <v>82.100815095209327</v>
      </c>
      <c r="I44" s="196">
        <f>IF(H44="","",$B44*'AEO 2018_Table 13'!I$16/'AEO 2018_Table 13'!$C$16)</f>
        <v>83.972812068106677</v>
      </c>
      <c r="J44" s="196">
        <f>IF(I44="","",$B44*'AEO 2018_Table 13'!J$16/'AEO 2018_Table 13'!$C$16)</f>
        <v>85.865075117875762</v>
      </c>
      <c r="K44" s="196">
        <f>IF(J44="","",$B44*'AEO 2018_Table 13'!K$16/'AEO 2018_Table 13'!$C$16)</f>
        <v>87.283524336865526</v>
      </c>
      <c r="L44" s="196">
        <f>IF(K44="","",$B44*'AEO 2018_Table 13'!L$16/'AEO 2018_Table 13'!$C$16)</f>
        <v>88.788315280764493</v>
      </c>
      <c r="M44" s="196">
        <f>IF(L44="","",$B44*'AEO 2018_Table 13'!M$16/'AEO 2018_Table 13'!$C$16)</f>
        <v>89.905753214250055</v>
      </c>
      <c r="N44" s="196">
        <f>IF(M44="","",$B44*'AEO 2018_Table 13'!N$16/'AEO 2018_Table 13'!$C$16)</f>
        <v>91.351274319227485</v>
      </c>
      <c r="O44" s="196">
        <f>IF(N44="","",$B44*'AEO 2018_Table 13'!O$16/'AEO 2018_Table 13'!$C$16)</f>
        <v>92.669350879822545</v>
      </c>
      <c r="P44" s="196">
        <f>IF(O44="","",$B44*'AEO 2018_Table 13'!P$16/'AEO 2018_Table 13'!$C$16)</f>
        <v>93.447758784426654</v>
      </c>
      <c r="Q44" s="196">
        <f>IF(P44="","",$B44*'AEO 2018_Table 13'!Q$16/'AEO 2018_Table 13'!$C$16)</f>
        <v>93.860444390929715</v>
      </c>
      <c r="R44" s="196">
        <f>IF(Q44="","",$B44*'AEO 2018_Table 13'!R$16/'AEO 2018_Table 13'!$C$16)</f>
        <v>94.295403328979958</v>
      </c>
      <c r="S44" s="196">
        <f>IF(R44="","",$B44*'AEO 2018_Table 13'!S$16/'AEO 2018_Table 13'!$C$16)</f>
        <v>94.574208274131365</v>
      </c>
      <c r="T44" s="196">
        <f>IF(S44="","",$B44*'AEO 2018_Table 13'!T$16/'AEO 2018_Table 13'!$C$16)</f>
        <v>94.902867073663671</v>
      </c>
      <c r="U44" s="196">
        <f>IF(T44="","",$B44*'AEO 2018_Table 13'!U$16/'AEO 2018_Table 13'!$C$16)</f>
        <v>95.639782617405189</v>
      </c>
      <c r="V44" s="196">
        <f>IF(U44="","",$B44*'AEO 2018_Table 13'!V$16/'AEO 2018_Table 13'!$C$16)</f>
        <v>96.071776574816155</v>
      </c>
      <c r="W44" s="196">
        <f>IF(V44="","",$B44*'AEO 2018_Table 13'!W$16/'AEO 2018_Table 13'!$C$16)</f>
        <v>96.808342275653814</v>
      </c>
      <c r="X44" s="196">
        <f>IF(W44="","",$B44*'AEO 2018_Table 13'!X$16/'AEO 2018_Table 13'!$C$16)</f>
        <v>97.697270764020558</v>
      </c>
      <c r="Y44" s="196">
        <f>IF(X44="","",$B44*'AEO 2018_Table 13'!Y$16/'AEO 2018_Table 13'!$C$16)</f>
        <v>98.179885252814529</v>
      </c>
      <c r="Z44" s="196">
        <f>IF(Y44="","",$B44*'AEO 2018_Table 13'!Z$16/'AEO 2018_Table 13'!$C$16)</f>
        <v>98.801233542818281</v>
      </c>
      <c r="AA44" s="196">
        <f>IF(Z44="","",$B44*'AEO 2018_Table 13'!AA$16/'AEO 2018_Table 13'!$C$16)</f>
        <v>99.630098222552519</v>
      </c>
      <c r="AB44" s="196">
        <f>IF(AA44="","",$B44*'AEO 2018_Table 13'!AB$16/'AEO 2018_Table 13'!$C$16)</f>
        <v>100.24848649422769</v>
      </c>
      <c r="AC44" s="196">
        <f>IF(AB44="","",$B44*'AEO 2018_Table 13'!AC$16/'AEO 2018_Table 13'!$C$16)</f>
        <v>101.02847489478765</v>
      </c>
      <c r="AD44" s="196">
        <f>IF(AC44="","",$B44*'AEO 2018_Table 13'!AD$16/'AEO 2018_Table 13'!$C$16)</f>
        <v>101.70640345131713</v>
      </c>
      <c r="AE44" s="196">
        <f>IF(AD44="","",$B44*'AEO 2018_Table 13'!AE$16/'AEO 2018_Table 13'!$C$16)</f>
        <v>102.36152522789993</v>
      </c>
      <c r="AF44" s="196">
        <f>IF(AE44="","",$B44*'AEO 2018_Table 13'!AF$16/'AEO 2018_Table 13'!$C$16)</f>
        <v>102.87602504405413</v>
      </c>
      <c r="AG44" s="196">
        <f>IF(AF44="","",$B44*'AEO 2018_Table 13'!AG$16/'AEO 2018_Table 13'!$C$16)</f>
        <v>103.61338471460274</v>
      </c>
      <c r="AH44" s="196">
        <f>IF(AG44="","",$B44*'AEO 2018_Table 13'!AH$16/'AEO 2018_Table 13'!$C$16)</f>
        <v>104.39515210354624</v>
      </c>
      <c r="AI44" s="196">
        <f>IF(AH44="","",$B44*'AEO 2018_Table 13'!AI$16/'AEO 2018_Table 13'!$C$16)</f>
        <v>105.19976845207738</v>
      </c>
      <c r="AJ44" s="196">
        <f>IF(AI44="","",$B44*'AEO 2018_Table 13'!AJ$16/'AEO 2018_Table 13'!$C$16)</f>
        <v>105.69686296347459</v>
      </c>
      <c r="AK44" s="196">
        <f>IF(AJ44="","",$B44*'AEO 2018_Table 13'!AK$16/'AEO 2018_Table 13'!$C$16)</f>
        <v>106.63754835237314</v>
      </c>
    </row>
    <row r="45" spans="1:37" x14ac:dyDescent="0.25">
      <c r="A45" s="212" t="s">
        <v>1205</v>
      </c>
      <c r="B45" s="196">
        <v>20.841796264438287</v>
      </c>
      <c r="C45" s="196">
        <f>IF(B45="","",$B45*'AEO 2018_Table 13'!C$16/'AEO 2018_Table 13'!$C$16)</f>
        <v>20.841796264438287</v>
      </c>
      <c r="D45" s="196">
        <f>IF(C45="","",$B45*'AEO 2018_Table 13'!D$16/'AEO 2018_Table 13'!$C$16)</f>
        <v>20.964886865363294</v>
      </c>
      <c r="E45" s="196">
        <f>IF(D45="","",$B45*'AEO 2018_Table 13'!E$16/'AEO 2018_Table 13'!$C$16)</f>
        <v>22.403190294063393</v>
      </c>
      <c r="F45" s="196">
        <f>IF(E45="","",$B45*'AEO 2018_Table 13'!F$16/'AEO 2018_Table 13'!$C$16)</f>
        <v>24.130271247750137</v>
      </c>
      <c r="G45" s="196">
        <f>IF(F45="","",$B45*'AEO 2018_Table 13'!G$16/'AEO 2018_Table 13'!$C$16)</f>
        <v>25.268537468452077</v>
      </c>
      <c r="H45" s="196">
        <f>IF(G45="","",$B45*'AEO 2018_Table 13'!H$16/'AEO 2018_Table 13'!$C$16)</f>
        <v>25.599843235490773</v>
      </c>
      <c r="I45" s="196">
        <f>IF(H45="","",$B45*'AEO 2018_Table 13'!I$16/'AEO 2018_Table 13'!$C$16)</f>
        <v>26.183550339834515</v>
      </c>
      <c r="J45" s="196">
        <f>IF(I45="","",$B45*'AEO 2018_Table 13'!J$16/'AEO 2018_Table 13'!$C$16)</f>
        <v>26.773576606665408</v>
      </c>
      <c r="K45" s="196">
        <f>IF(J45="","",$B45*'AEO 2018_Table 13'!K$16/'AEO 2018_Table 13'!$C$16)</f>
        <v>27.215863051709011</v>
      </c>
      <c r="L45" s="196">
        <f>IF(K45="","",$B45*'AEO 2018_Table 13'!L$16/'AEO 2018_Table 13'!$C$16)</f>
        <v>27.685071697461513</v>
      </c>
      <c r="M45" s="196">
        <f>IF(L45="","",$B45*'AEO 2018_Table 13'!M$16/'AEO 2018_Table 13'!$C$16)</f>
        <v>28.033499857272684</v>
      </c>
      <c r="N45" s="196">
        <f>IF(M45="","",$B45*'AEO 2018_Table 13'!N$16/'AEO 2018_Table 13'!$C$16)</f>
        <v>28.484227583155821</v>
      </c>
      <c r="O45" s="196">
        <f>IF(N45="","",$B45*'AEO 2018_Table 13'!O$16/'AEO 2018_Table 13'!$C$16)</f>
        <v>28.895216844157414</v>
      </c>
      <c r="P45" s="196">
        <f>IF(O45="","",$B45*'AEO 2018_Table 13'!P$16/'AEO 2018_Table 13'!$C$16)</f>
        <v>29.137932099883233</v>
      </c>
      <c r="Q45" s="196">
        <f>IF(P45="","",$B45*'AEO 2018_Table 13'!Q$16/'AEO 2018_Table 13'!$C$16)</f>
        <v>29.266611538933507</v>
      </c>
      <c r="R45" s="196">
        <f>IF(Q45="","",$B45*'AEO 2018_Table 13'!R$16/'AEO 2018_Table 13'!$C$16)</f>
        <v>29.402236022259878</v>
      </c>
      <c r="S45" s="196">
        <f>IF(R45="","",$B45*'AEO 2018_Table 13'!S$16/'AEO 2018_Table 13'!$C$16)</f>
        <v>29.489170151730807</v>
      </c>
      <c r="T45" s="196">
        <f>IF(S45="","",$B45*'AEO 2018_Table 13'!T$16/'AEO 2018_Table 13'!$C$16)</f>
        <v>29.591649204298488</v>
      </c>
      <c r="U45" s="196">
        <f>IF(T45="","",$B45*'AEO 2018_Table 13'!U$16/'AEO 2018_Table 13'!$C$16)</f>
        <v>29.821426733007584</v>
      </c>
      <c r="V45" s="196">
        <f>IF(U45="","",$B45*'AEO 2018_Table 13'!V$16/'AEO 2018_Table 13'!$C$16)</f>
        <v>29.956126706151277</v>
      </c>
      <c r="W45" s="196">
        <f>IF(V45="","",$B45*'AEO 2018_Table 13'!W$16/'AEO 2018_Table 13'!$C$16)</f>
        <v>30.185795150395304</v>
      </c>
      <c r="X45" s="196">
        <f>IF(W45="","",$B45*'AEO 2018_Table 13'!X$16/'AEO 2018_Table 13'!$C$16)</f>
        <v>30.462971813298847</v>
      </c>
      <c r="Y45" s="196">
        <f>IF(X45="","",$B45*'AEO 2018_Table 13'!Y$16/'AEO 2018_Table 13'!$C$16)</f>
        <v>30.613455766984011</v>
      </c>
      <c r="Z45" s="196">
        <f>IF(Y45="","",$B45*'AEO 2018_Table 13'!Z$16/'AEO 2018_Table 13'!$C$16)</f>
        <v>30.807198287083114</v>
      </c>
      <c r="AA45" s="196">
        <f>IF(Z45="","",$B45*'AEO 2018_Table 13'!AA$16/'AEO 2018_Table 13'!$C$16)</f>
        <v>31.065646462536979</v>
      </c>
      <c r="AB45" s="196">
        <f>IF(AA45="","",$B45*'AEO 2018_Table 13'!AB$16/'AEO 2018_Table 13'!$C$16)</f>
        <v>31.258466019750777</v>
      </c>
      <c r="AC45" s="196">
        <f>IF(AB45="","",$B45*'AEO 2018_Table 13'!AC$16/'AEO 2018_Table 13'!$C$16)</f>
        <v>31.501674089691136</v>
      </c>
      <c r="AD45" s="196">
        <f>IF(AC45="","",$B45*'AEO 2018_Table 13'!AD$16/'AEO 2018_Table 13'!$C$16)</f>
        <v>31.713058894481339</v>
      </c>
      <c r="AE45" s="196">
        <f>IF(AD45="","",$B45*'AEO 2018_Table 13'!AE$16/'AEO 2018_Table 13'!$C$16)</f>
        <v>31.917332320527443</v>
      </c>
      <c r="AF45" s="196">
        <f>IF(AE45="","",$B45*'AEO 2018_Table 13'!AF$16/'AEO 2018_Table 13'!$C$16)</f>
        <v>32.077758433507711</v>
      </c>
      <c r="AG45" s="196">
        <f>IF(AF45="","",$B45*'AEO 2018_Table 13'!AG$16/'AEO 2018_Table 13'!$C$16)</f>
        <v>32.30767444533204</v>
      </c>
      <c r="AH45" s="196">
        <f>IF(AG45="","",$B45*'AEO 2018_Table 13'!AH$16/'AEO 2018_Table 13'!$C$16)</f>
        <v>32.551437221382002</v>
      </c>
      <c r="AI45" s="196">
        <f>IF(AH45="","",$B45*'AEO 2018_Table 13'!AI$16/'AEO 2018_Table 13'!$C$16)</f>
        <v>32.802324528203783</v>
      </c>
      <c r="AJ45" s="196">
        <f>IF(AI45="","",$B45*'AEO 2018_Table 13'!AJ$16/'AEO 2018_Table 13'!$C$16)</f>
        <v>32.957323495634668</v>
      </c>
      <c r="AK45" s="196">
        <f>IF(AJ45="","",$B45*'AEO 2018_Table 13'!AK$16/'AEO 2018_Table 13'!$C$16)</f>
        <v>33.250638470178991</v>
      </c>
    </row>
    <row r="46" spans="1:37" x14ac:dyDescent="0.25">
      <c r="A46" s="207" t="s">
        <v>1206</v>
      </c>
      <c r="B46" s="191"/>
      <c r="C46" s="191" t="str">
        <f>IF(B46="","",$B46*'AEO 2018_Table 13'!C$16/'AEO 2018_Table 13'!$C$16)</f>
        <v/>
      </c>
      <c r="D46" s="191" t="str">
        <f>IF(C46="","",$B46*'AEO 2018_Table 13'!D$16/'AEO 2018_Table 13'!$C$16)</f>
        <v/>
      </c>
      <c r="E46" s="191" t="str">
        <f>IF(D46="","",$B46*'AEO 2018_Table 13'!E$16/'AEO 2018_Table 13'!$C$16)</f>
        <v/>
      </c>
      <c r="F46" s="191" t="str">
        <f>IF(E46="","",$B46*'AEO 2018_Table 13'!F$16/'AEO 2018_Table 13'!$C$16)</f>
        <v/>
      </c>
      <c r="G46" s="191" t="str">
        <f>IF(F46="","",$B46*'AEO 2018_Table 13'!G$16/'AEO 2018_Table 13'!$C$16)</f>
        <v/>
      </c>
      <c r="H46" s="191" t="str">
        <f>IF(G46="","",$B46*'AEO 2018_Table 13'!H$16/'AEO 2018_Table 13'!$C$16)</f>
        <v/>
      </c>
      <c r="I46" s="191" t="str">
        <f>IF(H46="","",$B46*'AEO 2018_Table 13'!I$16/'AEO 2018_Table 13'!$C$16)</f>
        <v/>
      </c>
      <c r="J46" s="191" t="str">
        <f>IF(I46="","",$B46*'AEO 2018_Table 13'!J$16/'AEO 2018_Table 13'!$C$16)</f>
        <v/>
      </c>
      <c r="K46" s="191" t="str">
        <f>IF(J46="","",$B46*'AEO 2018_Table 13'!K$16/'AEO 2018_Table 13'!$C$16)</f>
        <v/>
      </c>
      <c r="L46" s="191" t="str">
        <f>IF(K46="","",$B46*'AEO 2018_Table 13'!L$16/'AEO 2018_Table 13'!$C$16)</f>
        <v/>
      </c>
      <c r="M46" s="191" t="str">
        <f>IF(L46="","",$B46*'AEO 2018_Table 13'!M$16/'AEO 2018_Table 13'!$C$16)</f>
        <v/>
      </c>
      <c r="N46" s="191" t="str">
        <f>IF(M46="","",$B46*'AEO 2018_Table 13'!N$16/'AEO 2018_Table 13'!$C$16)</f>
        <v/>
      </c>
      <c r="O46" s="191" t="str">
        <f>IF(N46="","",$B46*'AEO 2018_Table 13'!O$16/'AEO 2018_Table 13'!$C$16)</f>
        <v/>
      </c>
      <c r="P46" s="191" t="str">
        <f>IF(O46="","",$B46*'AEO 2018_Table 13'!P$16/'AEO 2018_Table 13'!$C$16)</f>
        <v/>
      </c>
      <c r="Q46" s="191" t="str">
        <f>IF(P46="","",$B46*'AEO 2018_Table 13'!Q$16/'AEO 2018_Table 13'!$C$16)</f>
        <v/>
      </c>
      <c r="R46" s="191" t="str">
        <f>IF(Q46="","",$B46*'AEO 2018_Table 13'!R$16/'AEO 2018_Table 13'!$C$16)</f>
        <v/>
      </c>
      <c r="S46" s="191" t="str">
        <f>IF(R46="","",$B46*'AEO 2018_Table 13'!S$16/'AEO 2018_Table 13'!$C$16)</f>
        <v/>
      </c>
      <c r="T46" s="191" t="str">
        <f>IF(S46="","",$B46*'AEO 2018_Table 13'!T$16/'AEO 2018_Table 13'!$C$16)</f>
        <v/>
      </c>
      <c r="U46" s="191" t="str">
        <f>IF(T46="","",$B46*'AEO 2018_Table 13'!U$16/'AEO 2018_Table 13'!$C$16)</f>
        <v/>
      </c>
      <c r="V46" s="191" t="str">
        <f>IF(U46="","",$B46*'AEO 2018_Table 13'!V$16/'AEO 2018_Table 13'!$C$16)</f>
        <v/>
      </c>
      <c r="W46" s="191" t="str">
        <f>IF(V46="","",$B46*'AEO 2018_Table 13'!W$16/'AEO 2018_Table 13'!$C$16)</f>
        <v/>
      </c>
      <c r="X46" s="191" t="str">
        <f>IF(W46="","",$B46*'AEO 2018_Table 13'!X$16/'AEO 2018_Table 13'!$C$16)</f>
        <v/>
      </c>
      <c r="Y46" s="191" t="str">
        <f>IF(X46="","",$B46*'AEO 2018_Table 13'!Y$16/'AEO 2018_Table 13'!$C$16)</f>
        <v/>
      </c>
      <c r="Z46" s="191" t="str">
        <f>IF(Y46="","",$B46*'AEO 2018_Table 13'!Z$16/'AEO 2018_Table 13'!$C$16)</f>
        <v/>
      </c>
      <c r="AA46" s="191" t="str">
        <f>IF(Z46="","",$B46*'AEO 2018_Table 13'!AA$16/'AEO 2018_Table 13'!$C$16)</f>
        <v/>
      </c>
      <c r="AB46" s="191" t="str">
        <f>IF(AA46="","",$B46*'AEO 2018_Table 13'!AB$16/'AEO 2018_Table 13'!$C$16)</f>
        <v/>
      </c>
      <c r="AC46" s="191" t="str">
        <f>IF(AB46="","",$B46*'AEO 2018_Table 13'!AC$16/'AEO 2018_Table 13'!$C$16)</f>
        <v/>
      </c>
      <c r="AD46" s="191" t="str">
        <f>IF(AC46="","",$B46*'AEO 2018_Table 13'!AD$16/'AEO 2018_Table 13'!$C$16)</f>
        <v/>
      </c>
      <c r="AE46" s="191" t="str">
        <f>IF(AD46="","",$B46*'AEO 2018_Table 13'!AE$16/'AEO 2018_Table 13'!$C$16)</f>
        <v/>
      </c>
      <c r="AF46" s="191" t="str">
        <f>IF(AE46="","",$B46*'AEO 2018_Table 13'!AF$16/'AEO 2018_Table 13'!$C$16)</f>
        <v/>
      </c>
      <c r="AG46" s="191" t="str">
        <f>IF(AF46="","",$B46*'AEO 2018_Table 13'!AG$16/'AEO 2018_Table 13'!$C$16)</f>
        <v/>
      </c>
      <c r="AH46" s="191" t="str">
        <f>IF(AG46="","",$B46*'AEO 2018_Table 13'!AH$16/'AEO 2018_Table 13'!$C$16)</f>
        <v/>
      </c>
      <c r="AI46" s="191" t="str">
        <f>IF(AH46="","",$B46*'AEO 2018_Table 13'!AI$16/'AEO 2018_Table 13'!$C$16)</f>
        <v/>
      </c>
      <c r="AJ46" s="191" t="str">
        <f>IF(AI46="","",$B46*'AEO 2018_Table 13'!AJ$16/'AEO 2018_Table 13'!$C$16)</f>
        <v/>
      </c>
      <c r="AK46" s="191" t="str">
        <f>IF(AJ46="","",$B46*'AEO 2018_Table 13'!AK$16/'AEO 2018_Table 13'!$C$16)</f>
        <v/>
      </c>
    </row>
    <row r="47" spans="1:37" x14ac:dyDescent="0.25">
      <c r="A47" s="213" t="s">
        <v>1207</v>
      </c>
      <c r="B47" s="193">
        <v>0.68496199999999996</v>
      </c>
      <c r="C47" s="193">
        <f>IF(B47="","",$B47*'AEO 2018_Table 13'!C$16/'AEO 2018_Table 13'!$C$16)</f>
        <v>0.68496199999999996</v>
      </c>
      <c r="D47" s="193">
        <f>IF(C47="","",$B47*'AEO 2018_Table 13'!D$16/'AEO 2018_Table 13'!$C$16)</f>
        <v>0.68900735113581624</v>
      </c>
      <c r="E47" s="193">
        <f>IF(D47="","",$B47*'AEO 2018_Table 13'!E$16/'AEO 2018_Table 13'!$C$16)</f>
        <v>0.73627694251984965</v>
      </c>
      <c r="F47" s="193">
        <f>IF(E47="","",$B47*'AEO 2018_Table 13'!F$16/'AEO 2018_Table 13'!$C$16)</f>
        <v>0.79303715690778476</v>
      </c>
      <c r="G47" s="193">
        <f>IF(F47="","",$B47*'AEO 2018_Table 13'!G$16/'AEO 2018_Table 13'!$C$16)</f>
        <v>0.83044607776912005</v>
      </c>
      <c r="H47" s="193">
        <f>IF(G47="","",$B47*'AEO 2018_Table 13'!H$16/'AEO 2018_Table 13'!$C$16)</f>
        <v>0.84133438403231686</v>
      </c>
      <c r="I47" s="193">
        <f>IF(H47="","",$B47*'AEO 2018_Table 13'!I$16/'AEO 2018_Table 13'!$C$16)</f>
        <v>0.86051781623425683</v>
      </c>
      <c r="J47" s="193">
        <f>IF(I47="","",$B47*'AEO 2018_Table 13'!J$16/'AEO 2018_Table 13'!$C$16)</f>
        <v>0.87990892660945053</v>
      </c>
      <c r="K47" s="193">
        <f>IF(J47="","",$B47*'AEO 2018_Table 13'!K$16/'AEO 2018_Table 13'!$C$16)</f>
        <v>0.89444459350332906</v>
      </c>
      <c r="L47" s="193">
        <f>IF(K47="","",$B47*'AEO 2018_Table 13'!L$16/'AEO 2018_Table 13'!$C$16)</f>
        <v>0.90986505382902116</v>
      </c>
      <c r="M47" s="193">
        <f>IF(L47="","",$B47*'AEO 2018_Table 13'!M$16/'AEO 2018_Table 13'!$C$16)</f>
        <v>0.92131608454501546</v>
      </c>
      <c r="N47" s="193">
        <f>IF(M47="","",$B47*'AEO 2018_Table 13'!N$16/'AEO 2018_Table 13'!$C$16)</f>
        <v>0.9361291726617601</v>
      </c>
      <c r="O47" s="193">
        <f>IF(N47="","",$B47*'AEO 2018_Table 13'!O$16/'AEO 2018_Table 13'!$C$16)</f>
        <v>0.94963626305945814</v>
      </c>
      <c r="P47" s="193">
        <f>IF(O47="","",$B47*'AEO 2018_Table 13'!P$16/'AEO 2018_Table 13'!$C$16)</f>
        <v>0.95761305761608362</v>
      </c>
      <c r="Q47" s="193">
        <f>IF(P47="","",$B47*'AEO 2018_Table 13'!Q$16/'AEO 2018_Table 13'!$C$16)</f>
        <v>0.96184208494234846</v>
      </c>
      <c r="R47" s="193">
        <f>IF(Q47="","",$B47*'AEO 2018_Table 13'!R$16/'AEO 2018_Table 13'!$C$16)</f>
        <v>0.96629935993772431</v>
      </c>
      <c r="S47" s="193">
        <f>IF(R47="","",$B47*'AEO 2018_Table 13'!S$16/'AEO 2018_Table 13'!$C$16)</f>
        <v>0.96915643494388715</v>
      </c>
      <c r="T47" s="193">
        <f>IF(S47="","",$B47*'AEO 2018_Table 13'!T$16/'AEO 2018_Table 13'!$C$16)</f>
        <v>0.97252439113702172</v>
      </c>
      <c r="U47" s="193">
        <f>IF(T47="","",$B47*'AEO 2018_Table 13'!U$16/'AEO 2018_Table 13'!$C$16)</f>
        <v>0.9800759895512231</v>
      </c>
      <c r="V47" s="193">
        <f>IF(U47="","",$B47*'AEO 2018_Table 13'!V$16/'AEO 2018_Table 13'!$C$16)</f>
        <v>0.98450288068065417</v>
      </c>
      <c r="W47" s="193">
        <f>IF(V47="","",$B47*'AEO 2018_Table 13'!W$16/'AEO 2018_Table 13'!$C$16)</f>
        <v>0.99205089405293223</v>
      </c>
      <c r="X47" s="193">
        <f>IF(W47="","",$B47*'AEO 2018_Table 13'!X$16/'AEO 2018_Table 13'!$C$16)</f>
        <v>1.0011602567473408</v>
      </c>
      <c r="Y47" s="193">
        <f>IF(X47="","",$B47*'AEO 2018_Table 13'!Y$16/'AEO 2018_Table 13'!$C$16)</f>
        <v>1.0061058856449792</v>
      </c>
      <c r="Z47" s="193">
        <f>IF(Y47="","",$B47*'AEO 2018_Table 13'!Z$16/'AEO 2018_Table 13'!$C$16)</f>
        <v>1.0124731997847185</v>
      </c>
      <c r="AA47" s="193">
        <f>IF(Z47="","",$B47*'AEO 2018_Table 13'!AA$16/'AEO 2018_Table 13'!$C$16)</f>
        <v>1.0209670540048217</v>
      </c>
      <c r="AB47" s="193">
        <f>IF(AA47="","",$B47*'AEO 2018_Table 13'!AB$16/'AEO 2018_Table 13'!$C$16)</f>
        <v>1.0273040351302745</v>
      </c>
      <c r="AC47" s="193">
        <f>IF(AB47="","",$B47*'AEO 2018_Table 13'!AC$16/'AEO 2018_Table 13'!$C$16)</f>
        <v>1.0352970259401275</v>
      </c>
      <c r="AD47" s="193">
        <f>IF(AC47="","",$B47*'AEO 2018_Table 13'!AD$16/'AEO 2018_Table 13'!$C$16)</f>
        <v>1.0422441506899152</v>
      </c>
      <c r="AE47" s="193">
        <f>IF(AD47="","",$B47*'AEO 2018_Table 13'!AE$16/'AEO 2018_Table 13'!$C$16)</f>
        <v>1.0489575612173045</v>
      </c>
      <c r="AF47" s="193">
        <f>IF(AE47="","",$B47*'AEO 2018_Table 13'!AF$16/'AEO 2018_Table 13'!$C$16)</f>
        <v>1.05422993744654</v>
      </c>
      <c r="AG47" s="193">
        <f>IF(AF47="","",$B47*'AEO 2018_Table 13'!AG$16/'AEO 2018_Table 13'!$C$16)</f>
        <v>1.061786087084176</v>
      </c>
      <c r="AH47" s="193">
        <f>IF(AG47="","",$B47*'AEO 2018_Table 13'!AH$16/'AEO 2018_Table 13'!$C$16)</f>
        <v>1.0697973082135959</v>
      </c>
      <c r="AI47" s="193">
        <f>IF(AH47="","",$B47*'AEO 2018_Table 13'!AI$16/'AEO 2018_Table 13'!$C$16)</f>
        <v>1.0780426758045114</v>
      </c>
      <c r="AJ47" s="193">
        <f>IF(AI47="","",$B47*'AEO 2018_Table 13'!AJ$16/'AEO 2018_Table 13'!$C$16)</f>
        <v>1.0831366898416097</v>
      </c>
      <c r="AK47" s="193">
        <f>IF(AJ47="","",$B47*'AEO 2018_Table 13'!AK$16/'AEO 2018_Table 13'!$C$16)</f>
        <v>1.0927764353340188</v>
      </c>
    </row>
    <row r="48" spans="1:37" x14ac:dyDescent="0.25">
      <c r="A48" s="212" t="s">
        <v>1208</v>
      </c>
      <c r="B48" s="196">
        <v>9.6262E-2</v>
      </c>
      <c r="C48" s="196">
        <f>IF(B48="","",$B48*'AEO 2018_Table 13'!C$16/'AEO 2018_Table 13'!$C$16)</f>
        <v>9.6262E-2</v>
      </c>
      <c r="D48" s="196">
        <f>IF(C48="","",$B48*'AEO 2018_Table 13'!D$16/'AEO 2018_Table 13'!$C$16)</f>
        <v>9.6830518532467408E-2</v>
      </c>
      <c r="E48" s="196">
        <f>IF(D48="","",$B48*'AEO 2018_Table 13'!E$16/'AEO 2018_Table 13'!$C$16)</f>
        <v>0.10347361027450543</v>
      </c>
      <c r="F48" s="196">
        <f>IF(E48="","",$B48*'AEO 2018_Table 13'!F$16/'AEO 2018_Table 13'!$C$16)</f>
        <v>0.11145047871014331</v>
      </c>
      <c r="G48" s="196">
        <f>IF(F48="","",$B48*'AEO 2018_Table 13'!G$16/'AEO 2018_Table 13'!$C$16)</f>
        <v>0.11670778866303683</v>
      </c>
      <c r="H48" s="196">
        <f>IF(G48="","",$B48*'AEO 2018_Table 13'!H$16/'AEO 2018_Table 13'!$C$16)</f>
        <v>0.11823799053921077</v>
      </c>
      <c r="I48" s="196">
        <f>IF(H48="","",$B48*'AEO 2018_Table 13'!I$16/'AEO 2018_Table 13'!$C$16)</f>
        <v>0.12093395841863057</v>
      </c>
      <c r="J48" s="196">
        <f>IF(I48="","",$B48*'AEO 2018_Table 13'!J$16/'AEO 2018_Table 13'!$C$16)</f>
        <v>0.12365911261249374</v>
      </c>
      <c r="K48" s="196">
        <f>IF(J48="","",$B48*'AEO 2018_Table 13'!K$16/'AEO 2018_Table 13'!$C$16)</f>
        <v>0.12570190092270442</v>
      </c>
      <c r="L48" s="196">
        <f>IF(K48="","",$B48*'AEO 2018_Table 13'!L$16/'AEO 2018_Table 13'!$C$16)</f>
        <v>0.12786903479563719</v>
      </c>
      <c r="M48" s="196">
        <f>IF(L48="","",$B48*'AEO 2018_Table 13'!M$16/'AEO 2018_Table 13'!$C$16)</f>
        <v>0.12947831986368921</v>
      </c>
      <c r="N48" s="196">
        <f>IF(M48="","",$B48*'AEO 2018_Table 13'!N$16/'AEO 2018_Table 13'!$C$16)</f>
        <v>0.13156009591592871</v>
      </c>
      <c r="O48" s="196">
        <f>IF(N48="","",$B48*'AEO 2018_Table 13'!O$16/'AEO 2018_Table 13'!$C$16)</f>
        <v>0.13345833192882167</v>
      </c>
      <c r="P48" s="196">
        <f>IF(O48="","",$B48*'AEO 2018_Table 13'!P$16/'AEO 2018_Table 13'!$C$16)</f>
        <v>0.13457936082912547</v>
      </c>
      <c r="Q48" s="196">
        <f>IF(P48="","",$B48*'AEO 2018_Table 13'!Q$16/'AEO 2018_Table 13'!$C$16)</f>
        <v>0.13517369252706041</v>
      </c>
      <c r="R48" s="196">
        <f>IF(Q48="","",$B48*'AEO 2018_Table 13'!R$16/'AEO 2018_Table 13'!$C$16)</f>
        <v>0.13580010129952497</v>
      </c>
      <c r="S48" s="196">
        <f>IF(R48="","",$B48*'AEO 2018_Table 13'!S$16/'AEO 2018_Table 13'!$C$16)</f>
        <v>0.13620162394493193</v>
      </c>
      <c r="T48" s="196">
        <f>IF(S48="","",$B48*'AEO 2018_Table 13'!T$16/'AEO 2018_Table 13'!$C$16)</f>
        <v>0.13667494392335924</v>
      </c>
      <c r="U48" s="196">
        <f>IF(T48="","",$B48*'AEO 2018_Table 13'!U$16/'AEO 2018_Table 13'!$C$16)</f>
        <v>0.13773621734662631</v>
      </c>
      <c r="V48" s="196">
        <f>IF(U48="","",$B48*'AEO 2018_Table 13'!V$16/'AEO 2018_Table 13'!$C$16)</f>
        <v>0.1383583560841056</v>
      </c>
      <c r="W48" s="196">
        <f>IF(V48="","",$B48*'AEO 2018_Table 13'!W$16/'AEO 2018_Table 13'!$C$16)</f>
        <v>0.13941912567897691</v>
      </c>
      <c r="X48" s="196">
        <f>IF(W48="","",$B48*'AEO 2018_Table 13'!X$16/'AEO 2018_Table 13'!$C$16)</f>
        <v>0.14069932147332628</v>
      </c>
      <c r="Y48" s="196">
        <f>IF(X48="","",$B48*'AEO 2018_Table 13'!Y$16/'AEO 2018_Table 13'!$C$16)</f>
        <v>0.14139436167839531</v>
      </c>
      <c r="Z48" s="196">
        <f>IF(Y48="","",$B48*'AEO 2018_Table 13'!Z$16/'AEO 2018_Table 13'!$C$16)</f>
        <v>0.14228920021501421</v>
      </c>
      <c r="AA48" s="196">
        <f>IF(Z48="","",$B48*'AEO 2018_Table 13'!AA$16/'AEO 2018_Table 13'!$C$16)</f>
        <v>0.14348289474833953</v>
      </c>
      <c r="AB48" s="196">
        <f>IF(AA48="","",$B48*'AEO 2018_Table 13'!AB$16/'AEO 2018_Table 13'!$C$16)</f>
        <v>0.14437347039647525</v>
      </c>
      <c r="AC48" s="196">
        <f>IF(AB48="","",$B48*'AEO 2018_Table 13'!AC$16/'AEO 2018_Table 13'!$C$16)</f>
        <v>0.14549677545768752</v>
      </c>
      <c r="AD48" s="196">
        <f>IF(AC48="","",$B48*'AEO 2018_Table 13'!AD$16/'AEO 2018_Table 13'!$C$16)</f>
        <v>0.14647309841087916</v>
      </c>
      <c r="AE48" s="196">
        <f>IF(AD48="","",$B48*'AEO 2018_Table 13'!AE$16/'AEO 2018_Table 13'!$C$16)</f>
        <v>0.14741657604056896</v>
      </c>
      <c r="AF48" s="196">
        <f>IF(AE48="","",$B48*'AEO 2018_Table 13'!AF$16/'AEO 2018_Table 13'!$C$16)</f>
        <v>0.14815753609467217</v>
      </c>
      <c r="AG48" s="196">
        <f>IF(AF48="","",$B48*'AEO 2018_Table 13'!AG$16/'AEO 2018_Table 13'!$C$16)</f>
        <v>0.14921944912987428</v>
      </c>
      <c r="AH48" s="196">
        <f>IF(AG48="","",$B48*'AEO 2018_Table 13'!AH$16/'AEO 2018_Table 13'!$C$16)</f>
        <v>0.15034531621207772</v>
      </c>
      <c r="AI48" s="196">
        <f>IF(AH48="","",$B48*'AEO 2018_Table 13'!AI$16/'AEO 2018_Table 13'!$C$16)</f>
        <v>0.15150408936305063</v>
      </c>
      <c r="AJ48" s="196">
        <f>IF(AI48="","",$B48*'AEO 2018_Table 13'!AJ$16/'AEO 2018_Table 13'!$C$16)</f>
        <v>0.15221998306115236</v>
      </c>
      <c r="AK48" s="196">
        <f>IF(AJ48="","",$B48*'AEO 2018_Table 13'!AK$16/'AEO 2018_Table 13'!$C$16)</f>
        <v>0.15357471687206492</v>
      </c>
    </row>
    <row r="49" spans="1:37" x14ac:dyDescent="0.25">
      <c r="A49" s="212" t="s">
        <v>1209</v>
      </c>
      <c r="B49" s="196">
        <v>5.380264999999997</v>
      </c>
      <c r="C49" s="196">
        <f>IF(B49="","",$B49*'AEO 2018_Table 13'!C$16/'AEO 2018_Table 13'!$C$16)</f>
        <v>5.3802649999999979</v>
      </c>
      <c r="D49" s="196">
        <f>IF(C49="","",$B49*'AEO 2018_Table 13'!D$16/'AEO 2018_Table 13'!$C$16)</f>
        <v>5.4120405745993789</v>
      </c>
      <c r="E49" s="196">
        <f>IF(D49="","",$B49*'AEO 2018_Table 13'!E$16/'AEO 2018_Table 13'!$C$16)</f>
        <v>5.7833355195566423</v>
      </c>
      <c r="F49" s="196">
        <f>IF(E49="","",$B49*'AEO 2018_Table 13'!F$16/'AEO 2018_Table 13'!$C$16)</f>
        <v>6.2291777631612559</v>
      </c>
      <c r="G49" s="196">
        <f>IF(F49="","",$B49*'AEO 2018_Table 13'!G$16/'AEO 2018_Table 13'!$C$16)</f>
        <v>6.5230187464537774</v>
      </c>
      <c r="H49" s="196">
        <f>IF(G49="","",$B49*'AEO 2018_Table 13'!H$16/'AEO 2018_Table 13'!$C$16)</f>
        <v>6.6085446195637578</v>
      </c>
      <c r="I49" s="196">
        <f>IF(H49="","",$B49*'AEO 2018_Table 13'!I$16/'AEO 2018_Table 13'!$C$16)</f>
        <v>6.7592273564980259</v>
      </c>
      <c r="J49" s="196">
        <f>IF(I49="","",$B49*'AEO 2018_Table 13'!J$16/'AEO 2018_Table 13'!$C$16)</f>
        <v>6.9115413716737466</v>
      </c>
      <c r="K49" s="196">
        <f>IF(J49="","",$B49*'AEO 2018_Table 13'!K$16/'AEO 2018_Table 13'!$C$16)</f>
        <v>7.0257166687570782</v>
      </c>
      <c r="L49" s="196">
        <f>IF(K49="","",$B49*'AEO 2018_Table 13'!L$16/'AEO 2018_Table 13'!$C$16)</f>
        <v>7.1468418742052791</v>
      </c>
      <c r="M49" s="196">
        <f>IF(L49="","",$B49*'AEO 2018_Table 13'!M$16/'AEO 2018_Table 13'!$C$16)</f>
        <v>7.2367878562819321</v>
      </c>
      <c r="N49" s="196">
        <f>IF(M49="","",$B49*'AEO 2018_Table 13'!N$16/'AEO 2018_Table 13'!$C$16)</f>
        <v>7.3531422519074372</v>
      </c>
      <c r="O49" s="196">
        <f>IF(N49="","",$B49*'AEO 2018_Table 13'!O$16/'AEO 2018_Table 13'!$C$16)</f>
        <v>7.4592382480628014</v>
      </c>
      <c r="P49" s="196">
        <f>IF(O49="","",$B49*'AEO 2018_Table 13'!P$16/'AEO 2018_Table 13'!$C$16)</f>
        <v>7.5218946707040626</v>
      </c>
      <c r="Q49" s="196">
        <f>IF(P49="","",$B49*'AEO 2018_Table 13'!Q$16/'AEO 2018_Table 13'!$C$16)</f>
        <v>7.5551129918774205</v>
      </c>
      <c r="R49" s="196">
        <f>IF(Q49="","",$B49*'AEO 2018_Table 13'!R$16/'AEO 2018_Table 13'!$C$16)</f>
        <v>7.5901241613335309</v>
      </c>
      <c r="S49" s="196">
        <f>IF(R49="","",$B49*'AEO 2018_Table 13'!S$16/'AEO 2018_Table 13'!$C$16)</f>
        <v>7.612566020382693</v>
      </c>
      <c r="T49" s="196">
        <f>IF(S49="","",$B49*'AEO 2018_Table 13'!T$16/'AEO 2018_Table 13'!$C$16)</f>
        <v>7.6390207679854143</v>
      </c>
      <c r="U49" s="196">
        <f>IF(T49="","",$B49*'AEO 2018_Table 13'!U$16/'AEO 2018_Table 13'!$C$16)</f>
        <v>7.6983373441487402</v>
      </c>
      <c r="V49" s="196">
        <f>IF(U49="","",$B49*'AEO 2018_Table 13'!V$16/'AEO 2018_Table 13'!$C$16)</f>
        <v>7.7331098532842653</v>
      </c>
      <c r="W49" s="196">
        <f>IF(V49="","",$B49*'AEO 2018_Table 13'!W$16/'AEO 2018_Table 13'!$C$16)</f>
        <v>7.7923982695269185</v>
      </c>
      <c r="X49" s="196">
        <f>IF(W49="","",$B49*'AEO 2018_Table 13'!X$16/'AEO 2018_Table 13'!$C$16)</f>
        <v>7.8639508305113699</v>
      </c>
      <c r="Y49" s="196">
        <f>IF(X49="","",$B49*'AEO 2018_Table 13'!Y$16/'AEO 2018_Table 13'!$C$16)</f>
        <v>7.9027979403670292</v>
      </c>
      <c r="Z49" s="196">
        <f>IF(Y49="","",$B49*'AEO 2018_Table 13'!Z$16/'AEO 2018_Table 13'!$C$16)</f>
        <v>7.952812156352798</v>
      </c>
      <c r="AA49" s="196">
        <f>IF(Z49="","",$B49*'AEO 2018_Table 13'!AA$16/'AEO 2018_Table 13'!$C$16)</f>
        <v>8.0195299984747308</v>
      </c>
      <c r="AB49" s="196">
        <f>IF(AA49="","",$B49*'AEO 2018_Table 13'!AB$16/'AEO 2018_Table 13'!$C$16)</f>
        <v>8.0693059535714138</v>
      </c>
      <c r="AC49" s="196">
        <f>IF(AB49="","",$B49*'AEO 2018_Table 13'!AC$16/'AEO 2018_Table 13'!$C$16)</f>
        <v>8.1320895951450698</v>
      </c>
      <c r="AD49" s="196">
        <f>IF(AC49="","",$B49*'AEO 2018_Table 13'!AD$16/'AEO 2018_Table 13'!$C$16)</f>
        <v>8.1866581290811364</v>
      </c>
      <c r="AE49" s="196">
        <f>IF(AD49="","",$B49*'AEO 2018_Table 13'!AE$16/'AEO 2018_Table 13'!$C$16)</f>
        <v>8.2393908758483221</v>
      </c>
      <c r="AF49" s="196">
        <f>IF(AE49="","",$B49*'AEO 2018_Table 13'!AF$16/'AEO 2018_Table 13'!$C$16)</f>
        <v>8.2808045328000777</v>
      </c>
      <c r="AG49" s="196">
        <f>IF(AF49="","",$B49*'AEO 2018_Table 13'!AG$16/'AEO 2018_Table 13'!$C$16)</f>
        <v>8.3401568580825511</v>
      </c>
      <c r="AH49" s="196">
        <f>IF(AG49="","",$B49*'AEO 2018_Table 13'!AH$16/'AEO 2018_Table 13'!$C$16)</f>
        <v>8.403083695848558</v>
      </c>
      <c r="AI49" s="196">
        <f>IF(AH49="","",$B49*'AEO 2018_Table 13'!AI$16/'AEO 2018_Table 13'!$C$16)</f>
        <v>8.4678497159511856</v>
      </c>
      <c r="AJ49" s="196">
        <f>IF(AI49="","",$B49*'AEO 2018_Table 13'!AJ$16/'AEO 2018_Table 13'!$C$16)</f>
        <v>8.5078623669205964</v>
      </c>
      <c r="AK49" s="196">
        <f>IF(AJ49="","",$B49*'AEO 2018_Table 13'!AK$16/'AEO 2018_Table 13'!$C$16)</f>
        <v>8.5835809984384284</v>
      </c>
    </row>
    <row r="50" spans="1:37" x14ac:dyDescent="0.25">
      <c r="A50" s="212" t="s">
        <v>1210</v>
      </c>
      <c r="B50" s="196">
        <v>0.11908100000000008</v>
      </c>
      <c r="C50" s="196">
        <f>IF(B50="","",$B50*'AEO 2018_Table 13'!C$16/'AEO 2018_Table 13'!$C$16)</f>
        <v>0.11908100000000008</v>
      </c>
      <c r="D50" s="196">
        <f>IF(C50="","",$B50*'AEO 2018_Table 13'!D$16/'AEO 2018_Table 13'!$C$16)</f>
        <v>0.11978428639925161</v>
      </c>
      <c r="E50" s="196">
        <f>IF(D50="","",$B50*'AEO 2018_Table 13'!E$16/'AEO 2018_Table 13'!$C$16)</f>
        <v>0.12800212944981806</v>
      </c>
      <c r="F50" s="196">
        <f>IF(E50="","",$B50*'AEO 2018_Table 13'!F$16/'AEO 2018_Table 13'!$C$16)</f>
        <v>0.13786992224639613</v>
      </c>
      <c r="G50" s="196">
        <f>IF(F50="","",$B50*'AEO 2018_Table 13'!G$16/'AEO 2018_Table 13'!$C$16)</f>
        <v>0.14437348259731875</v>
      </c>
      <c r="H50" s="196">
        <f>IF(G50="","",$B50*'AEO 2018_Table 13'!H$16/'AEO 2018_Table 13'!$C$16)</f>
        <v>0.14626642030499851</v>
      </c>
      <c r="I50" s="196">
        <f>IF(H50="","",$B50*'AEO 2018_Table 13'!I$16/'AEO 2018_Table 13'!$C$16)</f>
        <v>0.14960146997204457</v>
      </c>
      <c r="J50" s="196">
        <f>IF(I50="","",$B50*'AEO 2018_Table 13'!J$16/'AEO 2018_Table 13'!$C$16)</f>
        <v>0.15297262459753977</v>
      </c>
      <c r="K50" s="196">
        <f>IF(J50="","",$B50*'AEO 2018_Table 13'!K$16/'AEO 2018_Table 13'!$C$16)</f>
        <v>0.1554996578481288</v>
      </c>
      <c r="L50" s="196">
        <f>IF(K50="","",$B50*'AEO 2018_Table 13'!L$16/'AEO 2018_Table 13'!$C$16)</f>
        <v>0.1581805128970859</v>
      </c>
      <c r="M50" s="196">
        <f>IF(L50="","",$B50*'AEO 2018_Table 13'!M$16/'AEO 2018_Table 13'!$C$16)</f>
        <v>0.16017128054359958</v>
      </c>
      <c r="N50" s="196">
        <f>IF(M50="","",$B50*'AEO 2018_Table 13'!N$16/'AEO 2018_Table 13'!$C$16)</f>
        <v>0.1627465436180914</v>
      </c>
      <c r="O50" s="196">
        <f>IF(N50="","",$B50*'AEO 2018_Table 13'!O$16/'AEO 2018_Table 13'!$C$16)</f>
        <v>0.16509475830977985</v>
      </c>
      <c r="P50" s="196">
        <f>IF(O50="","",$B50*'AEO 2018_Table 13'!P$16/'AEO 2018_Table 13'!$C$16)</f>
        <v>0.16648152819277703</v>
      </c>
      <c r="Q50" s="196">
        <f>IF(P50="","",$B50*'AEO 2018_Table 13'!Q$16/'AEO 2018_Table 13'!$C$16)</f>
        <v>0.16721674679328177</v>
      </c>
      <c r="R50" s="196">
        <f>IF(Q50="","",$B50*'AEO 2018_Table 13'!R$16/'AEO 2018_Table 13'!$C$16)</f>
        <v>0.16799164636979019</v>
      </c>
      <c r="S50" s="196">
        <f>IF(R50="","",$B50*'AEO 2018_Table 13'!S$16/'AEO 2018_Table 13'!$C$16)</f>
        <v>0.16848835034579016</v>
      </c>
      <c r="T50" s="196">
        <f>IF(S50="","",$B50*'AEO 2018_Table 13'!T$16/'AEO 2018_Table 13'!$C$16)</f>
        <v>0.16907387128189266</v>
      </c>
      <c r="U50" s="196">
        <f>IF(T50="","",$B50*'AEO 2018_Table 13'!U$16/'AEO 2018_Table 13'!$C$16)</f>
        <v>0.17038672059435309</v>
      </c>
      <c r="V50" s="196">
        <f>IF(U50="","",$B50*'AEO 2018_Table 13'!V$16/'AEO 2018_Table 13'!$C$16)</f>
        <v>0.17115633791996207</v>
      </c>
      <c r="W50" s="196">
        <f>IF(V50="","",$B50*'AEO 2018_Table 13'!W$16/'AEO 2018_Table 13'!$C$16)</f>
        <v>0.17246856397101931</v>
      </c>
      <c r="X50" s="196">
        <f>IF(W50="","",$B50*'AEO 2018_Table 13'!X$16/'AEO 2018_Table 13'!$C$16)</f>
        <v>0.1740522314139035</v>
      </c>
      <c r="Y50" s="196">
        <f>IF(X50="","",$B50*'AEO 2018_Table 13'!Y$16/'AEO 2018_Table 13'!$C$16)</f>
        <v>0.17491203157034968</v>
      </c>
      <c r="Z50" s="196">
        <f>IF(Y50="","",$B50*'AEO 2018_Table 13'!Z$16/'AEO 2018_Table 13'!$C$16)</f>
        <v>0.17601899244565994</v>
      </c>
      <c r="AA50" s="196">
        <f>IF(Z50="","",$B50*'AEO 2018_Table 13'!AA$16/'AEO 2018_Table 13'!$C$16)</f>
        <v>0.17749565342011417</v>
      </c>
      <c r="AB50" s="196">
        <f>IF(AA50="","",$B50*'AEO 2018_Table 13'!AB$16/'AEO 2018_Table 13'!$C$16)</f>
        <v>0.17859734088511228</v>
      </c>
      <c r="AC50" s="196">
        <f>IF(AB50="","",$B50*'AEO 2018_Table 13'!AC$16/'AEO 2018_Table 13'!$C$16)</f>
        <v>0.17998692649515802</v>
      </c>
      <c r="AD50" s="196">
        <f>IF(AC50="","",$B50*'AEO 2018_Table 13'!AD$16/'AEO 2018_Table 13'!$C$16)</f>
        <v>0.18119468774662809</v>
      </c>
      <c r="AE50" s="196">
        <f>IF(AD50="","",$B50*'AEO 2018_Table 13'!AE$16/'AEO 2018_Table 13'!$C$16)</f>
        <v>0.18236181765896203</v>
      </c>
      <c r="AF50" s="196">
        <f>IF(AE50="","",$B50*'AEO 2018_Table 13'!AF$16/'AEO 2018_Table 13'!$C$16)</f>
        <v>0.18327842300897207</v>
      </c>
      <c r="AG50" s="196">
        <f>IF(AF50="","",$B50*'AEO 2018_Table 13'!AG$16/'AEO 2018_Table 13'!$C$16)</f>
        <v>0.18459206355399402</v>
      </c>
      <c r="AH50" s="196">
        <f>IF(AG50="","",$B50*'AEO 2018_Table 13'!AH$16/'AEO 2018_Table 13'!$C$16)</f>
        <v>0.18598481851457935</v>
      </c>
      <c r="AI50" s="196">
        <f>IF(AH50="","",$B50*'AEO 2018_Table 13'!AI$16/'AEO 2018_Table 13'!$C$16)</f>
        <v>0.18741827995929278</v>
      </c>
      <c r="AJ50" s="196">
        <f>IF(AI50="","",$B50*'AEO 2018_Table 13'!AJ$16/'AEO 2018_Table 13'!$C$16)</f>
        <v>0.1883038769494203</v>
      </c>
      <c r="AK50" s="196">
        <f>IF(AJ50="","",$B50*'AEO 2018_Table 13'!AK$16/'AEO 2018_Table 13'!$C$16)</f>
        <v>0.18997975171762871</v>
      </c>
    </row>
    <row r="51" spans="1:37" x14ac:dyDescent="0.25">
      <c r="A51" s="212" t="s">
        <v>1211</v>
      </c>
      <c r="B51" s="196">
        <v>17.169202999999957</v>
      </c>
      <c r="C51" s="196">
        <f>IF(B51="","",$B51*'AEO 2018_Table 13'!C$16/'AEO 2018_Table 13'!$C$16)</f>
        <v>17.169202999999957</v>
      </c>
      <c r="D51" s="196">
        <f>IF(C51="","",$B51*'AEO 2018_Table 13'!D$16/'AEO 2018_Table 13'!$C$16)</f>
        <v>17.270603449743312</v>
      </c>
      <c r="E51" s="196">
        <f>IF(D51="","",$B51*'AEO 2018_Table 13'!E$16/'AEO 2018_Table 13'!$C$16)</f>
        <v>18.455459266853637</v>
      </c>
      <c r="F51" s="196">
        <f>IF(E51="","",$B51*'AEO 2018_Table 13'!F$16/'AEO 2018_Table 13'!$C$16)</f>
        <v>19.878206285155343</v>
      </c>
      <c r="G51" s="196">
        <f>IF(F51="","",$B51*'AEO 2018_Table 13'!G$16/'AEO 2018_Table 13'!$C$16)</f>
        <v>20.815895319407169</v>
      </c>
      <c r="H51" s="196">
        <f>IF(G51="","",$B51*'AEO 2018_Table 13'!H$16/'AEO 2018_Table 13'!$C$16)</f>
        <v>21.088820737983671</v>
      </c>
      <c r="I51" s="196">
        <f>IF(H51="","",$B51*'AEO 2018_Table 13'!I$16/'AEO 2018_Table 13'!$C$16)</f>
        <v>21.569671123423802</v>
      </c>
      <c r="J51" s="196">
        <f>IF(I51="","",$B51*'AEO 2018_Table 13'!J$16/'AEO 2018_Table 13'!$C$16)</f>
        <v>22.055727153432919</v>
      </c>
      <c r="K51" s="196">
        <f>IF(J51="","",$B51*'AEO 2018_Table 13'!K$16/'AEO 2018_Table 13'!$C$16)</f>
        <v>22.420077023413121</v>
      </c>
      <c r="L51" s="196">
        <f>IF(K51="","",$B51*'AEO 2018_Table 13'!L$16/'AEO 2018_Table 13'!$C$16)</f>
        <v>22.806605055165619</v>
      </c>
      <c r="M51" s="196">
        <f>IF(L51="","",$B51*'AEO 2018_Table 13'!M$16/'AEO 2018_Table 13'!$C$16)</f>
        <v>23.093635680108523</v>
      </c>
      <c r="N51" s="196">
        <f>IF(M51="","",$B51*'AEO 2018_Table 13'!N$16/'AEO 2018_Table 13'!$C$16)</f>
        <v>23.464939368390901</v>
      </c>
      <c r="O51" s="196">
        <f>IF(N51="","",$B51*'AEO 2018_Table 13'!O$16/'AEO 2018_Table 13'!$C$16)</f>
        <v>23.803507021746022</v>
      </c>
      <c r="P51" s="196">
        <f>IF(O51="","",$B51*'AEO 2018_Table 13'!P$16/'AEO 2018_Table 13'!$C$16)</f>
        <v>24.003452719510275</v>
      </c>
      <c r="Q51" s="196">
        <f>IF(P51="","",$B51*'AEO 2018_Table 13'!Q$16/'AEO 2018_Table 13'!$C$16)</f>
        <v>24.109457182031097</v>
      </c>
      <c r="R51" s="196">
        <f>IF(Q51="","",$B51*'AEO 2018_Table 13'!R$16/'AEO 2018_Table 13'!$C$16)</f>
        <v>24.221182882467662</v>
      </c>
      <c r="S51" s="196">
        <f>IF(R51="","",$B51*'AEO 2018_Table 13'!S$16/'AEO 2018_Table 13'!$C$16)</f>
        <v>24.292798097278173</v>
      </c>
      <c r="T51" s="196">
        <f>IF(S51="","",$B51*'AEO 2018_Table 13'!T$16/'AEO 2018_Table 13'!$C$16)</f>
        <v>24.377219019278275</v>
      </c>
      <c r="U51" s="196">
        <f>IF(T51="","",$B51*'AEO 2018_Table 13'!U$16/'AEO 2018_Table 13'!$C$16)</f>
        <v>24.566506784362907</v>
      </c>
      <c r="V51" s="196">
        <f>IF(U51="","",$B51*'AEO 2018_Table 13'!V$16/'AEO 2018_Table 13'!$C$16)</f>
        <v>24.677470885232886</v>
      </c>
      <c r="W51" s="196">
        <f>IF(V51="","",$B51*'AEO 2018_Table 13'!W$16/'AEO 2018_Table 13'!$C$16)</f>
        <v>24.86666878794188</v>
      </c>
      <c r="X51" s="196">
        <f>IF(W51="","",$B51*'AEO 2018_Table 13'!X$16/'AEO 2018_Table 13'!$C$16)</f>
        <v>25.095003348546591</v>
      </c>
      <c r="Y51" s="196">
        <f>IF(X51="","",$B51*'AEO 2018_Table 13'!Y$16/'AEO 2018_Table 13'!$C$16)</f>
        <v>25.218970089046387</v>
      </c>
      <c r="Z51" s="196">
        <f>IF(Y51="","",$B51*'AEO 2018_Table 13'!Z$16/'AEO 2018_Table 13'!$C$16)</f>
        <v>25.378572678722826</v>
      </c>
      <c r="AA51" s="196">
        <f>IF(Z51="","",$B51*'AEO 2018_Table 13'!AA$16/'AEO 2018_Table 13'!$C$16)</f>
        <v>25.591478952877242</v>
      </c>
      <c r="AB51" s="196">
        <f>IF(AA51="","",$B51*'AEO 2018_Table 13'!AB$16/'AEO 2018_Table 13'!$C$16)</f>
        <v>25.750321217630713</v>
      </c>
      <c r="AC51" s="196">
        <f>IF(AB51="","",$B51*'AEO 2018_Table 13'!AC$16/'AEO 2018_Table 13'!$C$16)</f>
        <v>25.950672889389882</v>
      </c>
      <c r="AD51" s="196">
        <f>IF(AC51="","",$B51*'AEO 2018_Table 13'!AD$16/'AEO 2018_Table 13'!$C$16)</f>
        <v>26.124808965691084</v>
      </c>
      <c r="AE51" s="196">
        <f>IF(AD51="","",$B51*'AEO 2018_Table 13'!AE$16/'AEO 2018_Table 13'!$C$16)</f>
        <v>26.29308677988675</v>
      </c>
      <c r="AF51" s="196">
        <f>IF(AE51="","",$B51*'AEO 2018_Table 13'!AF$16/'AEO 2018_Table 13'!$C$16)</f>
        <v>26.425243743006043</v>
      </c>
      <c r="AG51" s="196">
        <f>IF(AF51="","",$B51*'AEO 2018_Table 13'!AG$16/'AEO 2018_Table 13'!$C$16)</f>
        <v>26.614645588695215</v>
      </c>
      <c r="AH51" s="196">
        <f>IF(AG51="","",$B51*'AEO 2018_Table 13'!AH$16/'AEO 2018_Table 13'!$C$16)</f>
        <v>26.815454220194333</v>
      </c>
      <c r="AI51" s="196">
        <f>IF(AH51="","",$B51*'AEO 2018_Table 13'!AI$16/'AEO 2018_Table 13'!$C$16)</f>
        <v>27.022131948269827</v>
      </c>
      <c r="AJ51" s="196">
        <f>IF(AI51="","",$B51*'AEO 2018_Table 13'!AJ$16/'AEO 2018_Table 13'!$C$16)</f>
        <v>27.149818098870576</v>
      </c>
      <c r="AK51" s="196">
        <f>IF(AJ51="","",$B51*'AEO 2018_Table 13'!AK$16/'AEO 2018_Table 13'!$C$16)</f>
        <v>27.391447192495495</v>
      </c>
    </row>
    <row r="52" spans="1:37" x14ac:dyDescent="0.25">
      <c r="A52" s="206" t="s">
        <v>1212</v>
      </c>
      <c r="B52" s="195">
        <v>5.5871999999999977E-2</v>
      </c>
      <c r="C52" s="195">
        <f>IF(B52="","",$B52*'AEO 2018_Table 13'!C$16/'AEO 2018_Table 13'!$C$16)</f>
        <v>5.5871999999999977E-2</v>
      </c>
      <c r="D52" s="195">
        <f>IF(C52="","",$B52*'AEO 2018_Table 13'!D$16/'AEO 2018_Table 13'!$C$16)</f>
        <v>5.6201977223058079E-2</v>
      </c>
      <c r="E52" s="195">
        <f>IF(D52="","",$B52*'AEO 2018_Table 13'!E$16/'AEO 2018_Table 13'!$C$16)</f>
        <v>6.005773361510424E-2</v>
      </c>
      <c r="F52" s="195">
        <f>IF(E52="","",$B52*'AEO 2018_Table 13'!F$16/'AEO 2018_Table 13'!$C$16)</f>
        <v>6.4687635271375249E-2</v>
      </c>
      <c r="G52" s="195">
        <f>IF(F52="","",$B52*'AEO 2018_Table 13'!G$16/'AEO 2018_Table 13'!$C$16)</f>
        <v>6.7739061812357837E-2</v>
      </c>
      <c r="H52" s="195">
        <f>IF(G52="","",$B52*'AEO 2018_Table 13'!H$16/'AEO 2018_Table 13'!$C$16)</f>
        <v>6.8627215385165294E-2</v>
      </c>
      <c r="I52" s="195">
        <f>IF(H52="","",$B52*'AEO 2018_Table 13'!I$16/'AEO 2018_Table 13'!$C$16)</f>
        <v>7.0191998138057848E-2</v>
      </c>
      <c r="J52" s="195">
        <f>IF(I52="","",$B52*'AEO 2018_Table 13'!J$16/'AEO 2018_Table 13'!$C$16)</f>
        <v>7.1773721093320808E-2</v>
      </c>
      <c r="K52" s="195">
        <f>IF(J52="","",$B52*'AEO 2018_Table 13'!K$16/'AEO 2018_Table 13'!$C$16)</f>
        <v>7.2959388007244164E-2</v>
      </c>
      <c r="L52" s="195">
        <f>IF(K52="","",$B52*'AEO 2018_Table 13'!L$16/'AEO 2018_Table 13'!$C$16)</f>
        <v>7.4217227068852074E-2</v>
      </c>
      <c r="M52" s="195">
        <f>IF(L52="","",$B52*'AEO 2018_Table 13'!M$16/'AEO 2018_Table 13'!$C$16)</f>
        <v>7.515128178745549E-2</v>
      </c>
      <c r="N52" s="195">
        <f>IF(M52="","",$B52*'AEO 2018_Table 13'!N$16/'AEO 2018_Table 13'!$C$16)</f>
        <v>7.6359577808634393E-2</v>
      </c>
      <c r="O52" s="195">
        <f>IF(N52="","",$B52*'AEO 2018_Table 13'!O$16/'AEO 2018_Table 13'!$C$16)</f>
        <v>7.7461344263854079E-2</v>
      </c>
      <c r="P52" s="195">
        <f>IF(O52="","",$B52*'AEO 2018_Table 13'!P$16/'AEO 2018_Table 13'!$C$16)</f>
        <v>7.811200731591797E-2</v>
      </c>
      <c r="Q52" s="195">
        <f>IF(P52="","",$B52*'AEO 2018_Table 13'!Q$16/'AEO 2018_Table 13'!$C$16)</f>
        <v>7.8456966911885431E-2</v>
      </c>
      <c r="R52" s="195">
        <f>IF(Q52="","",$B52*'AEO 2018_Table 13'!R$16/'AEO 2018_Table 13'!$C$16)</f>
        <v>7.882054455347963E-2</v>
      </c>
      <c r="S52" s="195">
        <f>IF(R52="","",$B52*'AEO 2018_Table 13'!S$16/'AEO 2018_Table 13'!$C$16)</f>
        <v>7.9053594700413815E-2</v>
      </c>
      <c r="T52" s="195">
        <f>IF(S52="","",$B52*'AEO 2018_Table 13'!T$16/'AEO 2018_Table 13'!$C$16)</f>
        <v>7.9328317164467019E-2</v>
      </c>
      <c r="U52" s="195">
        <f>IF(T52="","",$B52*'AEO 2018_Table 13'!U$16/'AEO 2018_Table 13'!$C$16)</f>
        <v>7.9944297184669971E-2</v>
      </c>
      <c r="V52" s="195">
        <f>IF(U52="","",$B52*'AEO 2018_Table 13'!V$16/'AEO 2018_Table 13'!$C$16)</f>
        <v>8.0305396429859607E-2</v>
      </c>
      <c r="W52" s="195">
        <f>IF(V52="","",$B52*'AEO 2018_Table 13'!W$16/'AEO 2018_Table 13'!$C$16)</f>
        <v>8.092108402002654E-2</v>
      </c>
      <c r="X52" s="195">
        <f>IF(W52="","",$B52*'AEO 2018_Table 13'!X$16/'AEO 2018_Table 13'!$C$16)</f>
        <v>8.1664130075810637E-2</v>
      </c>
      <c r="Y52" s="195">
        <f>IF(X52="","",$B52*'AEO 2018_Table 13'!Y$16/'AEO 2018_Table 13'!$C$16)</f>
        <v>8.2067542495432244E-2</v>
      </c>
      <c r="Z52" s="195">
        <f>IF(Y52="","",$B52*'AEO 2018_Table 13'!Z$16/'AEO 2018_Table 13'!$C$16)</f>
        <v>8.2586921053097492E-2</v>
      </c>
      <c r="AA52" s="195">
        <f>IF(Z52="","",$B52*'AEO 2018_Table 13'!AA$16/'AEO 2018_Table 13'!$C$16)</f>
        <v>8.3279760397448874E-2</v>
      </c>
      <c r="AB52" s="195">
        <f>IF(AA52="","",$B52*'AEO 2018_Table 13'!AB$16/'AEO 2018_Table 13'!$C$16)</f>
        <v>8.3796664706653326E-2</v>
      </c>
      <c r="AC52" s="195">
        <f>IF(AB52="","",$B52*'AEO 2018_Table 13'!AC$16/'AEO 2018_Table 13'!$C$16)</f>
        <v>8.4448648878809013E-2</v>
      </c>
      <c r="AD52" s="195">
        <f>IF(AC52="","",$B52*'AEO 2018_Table 13'!AD$16/'AEO 2018_Table 13'!$C$16)</f>
        <v>8.5015322291378079E-2</v>
      </c>
      <c r="AE52" s="195">
        <f>IF(AD52="","",$B52*'AEO 2018_Table 13'!AE$16/'AEO 2018_Table 13'!$C$16)</f>
        <v>8.5562931754364815E-2</v>
      </c>
      <c r="AF52" s="195">
        <f>IF(AE52="","",$B52*'AEO 2018_Table 13'!AF$16/'AEO 2018_Table 13'!$C$16)</f>
        <v>8.5992996786702136E-2</v>
      </c>
      <c r="AG52" s="195">
        <f>IF(AF52="","",$B52*'AEO 2018_Table 13'!AG$16/'AEO 2018_Table 13'!$C$16)</f>
        <v>8.6609348047872806E-2</v>
      </c>
      <c r="AH52" s="195">
        <f>IF(AG52="","",$B52*'AEO 2018_Table 13'!AH$16/'AEO 2018_Table 13'!$C$16)</f>
        <v>8.7262819257871257E-2</v>
      </c>
      <c r="AI52" s="195">
        <f>IF(AH52="","",$B52*'AEO 2018_Table 13'!AI$16/'AEO 2018_Table 13'!$C$16)</f>
        <v>8.7935389674974135E-2</v>
      </c>
      <c r="AJ52" s="195">
        <f>IF(AI52="","",$B52*'AEO 2018_Table 13'!AJ$16/'AEO 2018_Table 13'!$C$16)</f>
        <v>8.8350905794526396E-2</v>
      </c>
      <c r="AK52" s="195">
        <f>IF(AJ52="","",$B52*'AEO 2018_Table 13'!AK$16/'AEO 2018_Table 13'!$C$16)</f>
        <v>8.9137214903866613E-2</v>
      </c>
    </row>
    <row r="53" spans="1:37" x14ac:dyDescent="0.25">
      <c r="A53" s="207" t="s">
        <v>1213</v>
      </c>
      <c r="B53" s="191"/>
      <c r="C53" s="191" t="str">
        <f>IF(B53="","",$B53*'AEO 2018_Table 13'!C$16/'AEO 2018_Table 13'!$C$16)</f>
        <v/>
      </c>
      <c r="D53" s="191" t="str">
        <f>IF(C53="","",$B53*'AEO 2018_Table 13'!D$16/'AEO 2018_Table 13'!$C$16)</f>
        <v/>
      </c>
      <c r="E53" s="191" t="str">
        <f>IF(D53="","",$B53*'AEO 2018_Table 13'!E$16/'AEO 2018_Table 13'!$C$16)</f>
        <v/>
      </c>
      <c r="F53" s="191" t="str">
        <f>IF(E53="","",$B53*'AEO 2018_Table 13'!F$16/'AEO 2018_Table 13'!$C$16)</f>
        <v/>
      </c>
      <c r="G53" s="191" t="str">
        <f>IF(F53="","",$B53*'AEO 2018_Table 13'!G$16/'AEO 2018_Table 13'!$C$16)</f>
        <v/>
      </c>
      <c r="H53" s="191" t="str">
        <f>IF(G53="","",$B53*'AEO 2018_Table 13'!H$16/'AEO 2018_Table 13'!$C$16)</f>
        <v/>
      </c>
      <c r="I53" s="191" t="str">
        <f>IF(H53="","",$B53*'AEO 2018_Table 13'!I$16/'AEO 2018_Table 13'!$C$16)</f>
        <v/>
      </c>
      <c r="J53" s="191" t="str">
        <f>IF(I53="","",$B53*'AEO 2018_Table 13'!J$16/'AEO 2018_Table 13'!$C$16)</f>
        <v/>
      </c>
      <c r="K53" s="191" t="str">
        <f>IF(J53="","",$B53*'AEO 2018_Table 13'!K$16/'AEO 2018_Table 13'!$C$16)</f>
        <v/>
      </c>
      <c r="L53" s="191" t="str">
        <f>IF(K53="","",$B53*'AEO 2018_Table 13'!L$16/'AEO 2018_Table 13'!$C$16)</f>
        <v/>
      </c>
      <c r="M53" s="191" t="str">
        <f>IF(L53="","",$B53*'AEO 2018_Table 13'!M$16/'AEO 2018_Table 13'!$C$16)</f>
        <v/>
      </c>
      <c r="N53" s="191" t="str">
        <f>IF(M53="","",$B53*'AEO 2018_Table 13'!N$16/'AEO 2018_Table 13'!$C$16)</f>
        <v/>
      </c>
      <c r="O53" s="191" t="str">
        <f>IF(N53="","",$B53*'AEO 2018_Table 13'!O$16/'AEO 2018_Table 13'!$C$16)</f>
        <v/>
      </c>
      <c r="P53" s="191" t="str">
        <f>IF(O53="","",$B53*'AEO 2018_Table 13'!P$16/'AEO 2018_Table 13'!$C$16)</f>
        <v/>
      </c>
      <c r="Q53" s="191" t="str">
        <f>IF(P53="","",$B53*'AEO 2018_Table 13'!Q$16/'AEO 2018_Table 13'!$C$16)</f>
        <v/>
      </c>
      <c r="R53" s="191" t="str">
        <f>IF(Q53="","",$B53*'AEO 2018_Table 13'!R$16/'AEO 2018_Table 13'!$C$16)</f>
        <v/>
      </c>
      <c r="S53" s="191" t="str">
        <f>IF(R53="","",$B53*'AEO 2018_Table 13'!S$16/'AEO 2018_Table 13'!$C$16)</f>
        <v/>
      </c>
      <c r="T53" s="191" t="str">
        <f>IF(S53="","",$B53*'AEO 2018_Table 13'!T$16/'AEO 2018_Table 13'!$C$16)</f>
        <v/>
      </c>
      <c r="U53" s="191" t="str">
        <f>IF(T53="","",$B53*'AEO 2018_Table 13'!U$16/'AEO 2018_Table 13'!$C$16)</f>
        <v/>
      </c>
      <c r="V53" s="191" t="str">
        <f>IF(U53="","",$B53*'AEO 2018_Table 13'!V$16/'AEO 2018_Table 13'!$C$16)</f>
        <v/>
      </c>
      <c r="W53" s="191" t="str">
        <f>IF(V53="","",$B53*'AEO 2018_Table 13'!W$16/'AEO 2018_Table 13'!$C$16)</f>
        <v/>
      </c>
      <c r="X53" s="191" t="str">
        <f>IF(W53="","",$B53*'AEO 2018_Table 13'!X$16/'AEO 2018_Table 13'!$C$16)</f>
        <v/>
      </c>
      <c r="Y53" s="191" t="str">
        <f>IF(X53="","",$B53*'AEO 2018_Table 13'!Y$16/'AEO 2018_Table 13'!$C$16)</f>
        <v/>
      </c>
      <c r="Z53" s="191" t="str">
        <f>IF(Y53="","",$B53*'AEO 2018_Table 13'!Z$16/'AEO 2018_Table 13'!$C$16)</f>
        <v/>
      </c>
      <c r="AA53" s="191" t="str">
        <f>IF(Z53="","",$B53*'AEO 2018_Table 13'!AA$16/'AEO 2018_Table 13'!$C$16)</f>
        <v/>
      </c>
      <c r="AB53" s="191" t="str">
        <f>IF(AA53="","",$B53*'AEO 2018_Table 13'!AB$16/'AEO 2018_Table 13'!$C$16)</f>
        <v/>
      </c>
      <c r="AC53" s="191" t="str">
        <f>IF(AB53="","",$B53*'AEO 2018_Table 13'!AC$16/'AEO 2018_Table 13'!$C$16)</f>
        <v/>
      </c>
      <c r="AD53" s="191" t="str">
        <f>IF(AC53="","",$B53*'AEO 2018_Table 13'!AD$16/'AEO 2018_Table 13'!$C$16)</f>
        <v/>
      </c>
      <c r="AE53" s="191" t="str">
        <f>IF(AD53="","",$B53*'AEO 2018_Table 13'!AE$16/'AEO 2018_Table 13'!$C$16)</f>
        <v/>
      </c>
      <c r="AF53" s="191" t="str">
        <f>IF(AE53="","",$B53*'AEO 2018_Table 13'!AF$16/'AEO 2018_Table 13'!$C$16)</f>
        <v/>
      </c>
      <c r="AG53" s="191" t="str">
        <f>IF(AF53="","",$B53*'AEO 2018_Table 13'!AG$16/'AEO 2018_Table 13'!$C$16)</f>
        <v/>
      </c>
      <c r="AH53" s="191" t="str">
        <f>IF(AG53="","",$B53*'AEO 2018_Table 13'!AH$16/'AEO 2018_Table 13'!$C$16)</f>
        <v/>
      </c>
      <c r="AI53" s="191" t="str">
        <f>IF(AH53="","",$B53*'AEO 2018_Table 13'!AI$16/'AEO 2018_Table 13'!$C$16)</f>
        <v/>
      </c>
      <c r="AJ53" s="191" t="str">
        <f>IF(AI53="","",$B53*'AEO 2018_Table 13'!AJ$16/'AEO 2018_Table 13'!$C$16)</f>
        <v/>
      </c>
      <c r="AK53" s="191" t="str">
        <f>IF(AJ53="","",$B53*'AEO 2018_Table 13'!AK$16/'AEO 2018_Table 13'!$C$16)</f>
        <v/>
      </c>
    </row>
    <row r="54" spans="1:37" x14ac:dyDescent="0.25">
      <c r="A54" s="217" t="s">
        <v>1214</v>
      </c>
      <c r="B54" s="218">
        <v>252.92233047789131</v>
      </c>
      <c r="C54" s="218">
        <f>IF(B54="","",$B54*'AEO 2018_Table 13'!C$16/'AEO 2018_Table 13'!$C$16)</f>
        <v>252.92233047789131</v>
      </c>
      <c r="D54" s="218">
        <f>IF(C54="","",$B54*'AEO 2018_Table 13'!D$16/'AEO 2018_Table 13'!$C$16)</f>
        <v>254.41607704612724</v>
      </c>
      <c r="E54" s="218">
        <f>IF(D54="","",$B54*'AEO 2018_Table 13'!E$16/'AEO 2018_Table 13'!$C$16)</f>
        <v>271.87038139233539</v>
      </c>
      <c r="F54" s="218">
        <f>IF(E54="","",$B54*'AEO 2018_Table 13'!F$16/'AEO 2018_Table 13'!$C$16)</f>
        <v>292.82909983426538</v>
      </c>
      <c r="G54" s="218">
        <f>IF(F54="","",$B54*'AEO 2018_Table 13'!G$16/'AEO 2018_Table 13'!$C$16)</f>
        <v>306.6423499779404</v>
      </c>
      <c r="H54" s="218">
        <f>IF(G54="","",$B54*'AEO 2018_Table 13'!H$16/'AEO 2018_Table 13'!$C$16)</f>
        <v>310.66285884565093</v>
      </c>
      <c r="I54" s="218">
        <f>IF(H54="","",$B54*'AEO 2018_Table 13'!I$16/'AEO 2018_Table 13'!$C$16)</f>
        <v>317.7463443223333</v>
      </c>
      <c r="J54" s="218">
        <f>IF(I54="","",$B54*'AEO 2018_Table 13'!J$16/'AEO 2018_Table 13'!$C$16)</f>
        <v>324.90651499844091</v>
      </c>
      <c r="K54" s="218">
        <f>IF(J54="","",$B54*'AEO 2018_Table 13'!K$16/'AEO 2018_Table 13'!$C$16)</f>
        <v>330.27381237530278</v>
      </c>
      <c r="L54" s="218">
        <f>IF(K54="","",$B54*'AEO 2018_Table 13'!L$16/'AEO 2018_Table 13'!$C$16)</f>
        <v>335.96781987150825</v>
      </c>
      <c r="M54" s="218">
        <f>IF(L54="","",$B54*'AEO 2018_Table 13'!M$16/'AEO 2018_Table 13'!$C$16)</f>
        <v>340.19611483540876</v>
      </c>
      <c r="N54" s="218">
        <f>IF(M54="","",$B54*'AEO 2018_Table 13'!N$16/'AEO 2018_Table 13'!$C$16)</f>
        <v>345.66585004416692</v>
      </c>
      <c r="O54" s="218">
        <f>IF(N54="","",$B54*'AEO 2018_Table 13'!O$16/'AEO 2018_Table 13'!$C$16)</f>
        <v>350.65334538166206</v>
      </c>
      <c r="P54" s="218">
        <f>IF(O54="","",$B54*'AEO 2018_Table 13'!P$16/'AEO 2018_Table 13'!$C$16)</f>
        <v>353.59877807574594</v>
      </c>
      <c r="Q54" s="218">
        <f>IF(P54="","",$B54*'AEO 2018_Table 13'!Q$16/'AEO 2018_Table 13'!$C$16)</f>
        <v>355.16034710733254</v>
      </c>
      <c r="R54" s="218">
        <f>IF(Q54="","",$B54*'AEO 2018_Table 13'!R$16/'AEO 2018_Table 13'!$C$16)</f>
        <v>356.80619662805231</v>
      </c>
      <c r="S54" s="218">
        <f>IF(R54="","",$B54*'AEO 2018_Table 13'!S$16/'AEO 2018_Table 13'!$C$16)</f>
        <v>357.86117204115385</v>
      </c>
      <c r="T54" s="218">
        <f>IF(S54="","",$B54*'AEO 2018_Table 13'!T$16/'AEO 2018_Table 13'!$C$16)</f>
        <v>359.10479041606379</v>
      </c>
      <c r="U54" s="218">
        <f>IF(T54="","",$B54*'AEO 2018_Table 13'!U$16/'AEO 2018_Table 13'!$C$16)</f>
        <v>361.89321936504626</v>
      </c>
      <c r="V54" s="218">
        <f>IF(U54="","",$B54*'AEO 2018_Table 13'!V$16/'AEO 2018_Table 13'!$C$16)</f>
        <v>363.52784963829879</v>
      </c>
      <c r="W54" s="218">
        <f>IF(V54="","",$B54*'AEO 2018_Table 13'!W$16/'AEO 2018_Table 13'!$C$16)</f>
        <v>366.31495480996512</v>
      </c>
      <c r="X54" s="218">
        <f>IF(W54="","",$B54*'AEO 2018_Table 13'!X$16/'AEO 2018_Table 13'!$C$16)</f>
        <v>369.67858847407803</v>
      </c>
      <c r="Y54" s="218">
        <f>IF(X54="","",$B54*'AEO 2018_Table 13'!Y$16/'AEO 2018_Table 13'!$C$16)</f>
        <v>371.50476275304464</v>
      </c>
      <c r="Z54" s="218">
        <f>IF(Y54="","",$B54*'AEO 2018_Table 13'!Z$16/'AEO 2018_Table 13'!$C$16)</f>
        <v>373.8558945400747</v>
      </c>
      <c r="AA54" s="218">
        <f>IF(Z54="","",$B54*'AEO 2018_Table 13'!AA$16/'AEO 2018_Table 13'!$C$16)</f>
        <v>376.99225159942688</v>
      </c>
      <c r="AB54" s="218">
        <f>IF(AA54="","",$B54*'AEO 2018_Table 13'!AB$16/'AEO 2018_Table 13'!$C$16)</f>
        <v>379.33218291597274</v>
      </c>
      <c r="AC54" s="218">
        <f>IF(AB54="","",$B54*'AEO 2018_Table 13'!AC$16/'AEO 2018_Table 13'!$C$16)</f>
        <v>382.28359607920873</v>
      </c>
      <c r="AD54" s="218">
        <f>IF(AC54="","",$B54*'AEO 2018_Table 13'!AD$16/'AEO 2018_Table 13'!$C$16)</f>
        <v>384.84882302878674</v>
      </c>
      <c r="AE54" s="218">
        <f>IF(AD54="","",$B54*'AEO 2018_Table 13'!AE$16/'AEO 2018_Table 13'!$C$16)</f>
        <v>387.32775096353674</v>
      </c>
      <c r="AF54" s="218">
        <f>IF(AE54="","",$B54*'AEO 2018_Table 13'!AF$16/'AEO 2018_Table 13'!$C$16)</f>
        <v>389.27457674811228</v>
      </c>
      <c r="AG54" s="218">
        <f>IF(AF54="","",$B54*'AEO 2018_Table 13'!AG$16/'AEO 2018_Table 13'!$C$16)</f>
        <v>392.06468623709208</v>
      </c>
      <c r="AH54" s="218">
        <f>IF(AG54="","",$B54*'AEO 2018_Table 13'!AH$16/'AEO 2018_Table 13'!$C$16)</f>
        <v>395.02283094880841</v>
      </c>
      <c r="AI54" s="218">
        <f>IF(AH54="","",$B54*'AEO 2018_Table 13'!AI$16/'AEO 2018_Table 13'!$C$16)</f>
        <v>398.0674342797102</v>
      </c>
      <c r="AJ54" s="218">
        <f>IF(AI54="","",$B54*'AEO 2018_Table 13'!AJ$16/'AEO 2018_Table 13'!$C$16)</f>
        <v>399.94839979568047</v>
      </c>
      <c r="AK54" s="218">
        <f>IF(AJ54="","",$B54*'AEO 2018_Table 13'!AK$16/'AEO 2018_Table 13'!$C$16)</f>
        <v>403.50787739466244</v>
      </c>
    </row>
    <row r="55" spans="1:37" x14ac:dyDescent="0.25">
      <c r="A55" s="207" t="s">
        <v>1215</v>
      </c>
      <c r="B55" s="191"/>
      <c r="C55" s="191" t="str">
        <f>IF(B55="","",$B55*'AEO 2018_Table 13'!C$16/'AEO 2018_Table 13'!$C$16)</f>
        <v/>
      </c>
      <c r="D55" s="191" t="str">
        <f>IF(C55="","",$B55*'AEO 2018_Table 13'!D$16/'AEO 2018_Table 13'!$C$16)</f>
        <v/>
      </c>
      <c r="E55" s="191" t="str">
        <f>IF(D55="","",$B55*'AEO 2018_Table 13'!E$16/'AEO 2018_Table 13'!$C$16)</f>
        <v/>
      </c>
      <c r="F55" s="191" t="str">
        <f>IF(E55="","",$B55*'AEO 2018_Table 13'!F$16/'AEO 2018_Table 13'!$C$16)</f>
        <v/>
      </c>
      <c r="G55" s="191" t="str">
        <f>IF(F55="","",$B55*'AEO 2018_Table 13'!G$16/'AEO 2018_Table 13'!$C$16)</f>
        <v/>
      </c>
      <c r="H55" s="191" t="str">
        <f>IF(G55="","",$B55*'AEO 2018_Table 13'!H$16/'AEO 2018_Table 13'!$C$16)</f>
        <v/>
      </c>
      <c r="I55" s="191" t="str">
        <f>IF(H55="","",$B55*'AEO 2018_Table 13'!I$16/'AEO 2018_Table 13'!$C$16)</f>
        <v/>
      </c>
      <c r="J55" s="191" t="str">
        <f>IF(I55="","",$B55*'AEO 2018_Table 13'!J$16/'AEO 2018_Table 13'!$C$16)</f>
        <v/>
      </c>
      <c r="K55" s="191" t="str">
        <f>IF(J55="","",$B55*'AEO 2018_Table 13'!K$16/'AEO 2018_Table 13'!$C$16)</f>
        <v/>
      </c>
      <c r="L55" s="191" t="str">
        <f>IF(K55="","",$B55*'AEO 2018_Table 13'!L$16/'AEO 2018_Table 13'!$C$16)</f>
        <v/>
      </c>
      <c r="M55" s="191" t="str">
        <f>IF(L55="","",$B55*'AEO 2018_Table 13'!M$16/'AEO 2018_Table 13'!$C$16)</f>
        <v/>
      </c>
      <c r="N55" s="191" t="str">
        <f>IF(M55="","",$B55*'AEO 2018_Table 13'!N$16/'AEO 2018_Table 13'!$C$16)</f>
        <v/>
      </c>
      <c r="O55" s="191" t="str">
        <f>IF(N55="","",$B55*'AEO 2018_Table 13'!O$16/'AEO 2018_Table 13'!$C$16)</f>
        <v/>
      </c>
      <c r="P55" s="191" t="str">
        <f>IF(O55="","",$B55*'AEO 2018_Table 13'!P$16/'AEO 2018_Table 13'!$C$16)</f>
        <v/>
      </c>
      <c r="Q55" s="191" t="str">
        <f>IF(P55="","",$B55*'AEO 2018_Table 13'!Q$16/'AEO 2018_Table 13'!$C$16)</f>
        <v/>
      </c>
      <c r="R55" s="191" t="str">
        <f>IF(Q55="","",$B55*'AEO 2018_Table 13'!R$16/'AEO 2018_Table 13'!$C$16)</f>
        <v/>
      </c>
      <c r="S55" s="191" t="str">
        <f>IF(R55="","",$B55*'AEO 2018_Table 13'!S$16/'AEO 2018_Table 13'!$C$16)</f>
        <v/>
      </c>
      <c r="T55" s="191" t="str">
        <f>IF(S55="","",$B55*'AEO 2018_Table 13'!T$16/'AEO 2018_Table 13'!$C$16)</f>
        <v/>
      </c>
      <c r="U55" s="191" t="str">
        <f>IF(T55="","",$B55*'AEO 2018_Table 13'!U$16/'AEO 2018_Table 13'!$C$16)</f>
        <v/>
      </c>
      <c r="V55" s="191" t="str">
        <f>IF(U55="","",$B55*'AEO 2018_Table 13'!V$16/'AEO 2018_Table 13'!$C$16)</f>
        <v/>
      </c>
      <c r="W55" s="191" t="str">
        <f>IF(V55="","",$B55*'AEO 2018_Table 13'!W$16/'AEO 2018_Table 13'!$C$16)</f>
        <v/>
      </c>
      <c r="X55" s="191" t="str">
        <f>IF(W55="","",$B55*'AEO 2018_Table 13'!X$16/'AEO 2018_Table 13'!$C$16)</f>
        <v/>
      </c>
      <c r="Y55" s="191" t="str">
        <f>IF(X55="","",$B55*'AEO 2018_Table 13'!Y$16/'AEO 2018_Table 13'!$C$16)</f>
        <v/>
      </c>
      <c r="Z55" s="191" t="str">
        <f>IF(Y55="","",$B55*'AEO 2018_Table 13'!Z$16/'AEO 2018_Table 13'!$C$16)</f>
        <v/>
      </c>
      <c r="AA55" s="191" t="str">
        <f>IF(Z55="","",$B55*'AEO 2018_Table 13'!AA$16/'AEO 2018_Table 13'!$C$16)</f>
        <v/>
      </c>
      <c r="AB55" s="191" t="str">
        <f>IF(AA55="","",$B55*'AEO 2018_Table 13'!AB$16/'AEO 2018_Table 13'!$C$16)</f>
        <v/>
      </c>
      <c r="AC55" s="191" t="str">
        <f>IF(AB55="","",$B55*'AEO 2018_Table 13'!AC$16/'AEO 2018_Table 13'!$C$16)</f>
        <v/>
      </c>
      <c r="AD55" s="191" t="str">
        <f>IF(AC55="","",$B55*'AEO 2018_Table 13'!AD$16/'AEO 2018_Table 13'!$C$16)</f>
        <v/>
      </c>
      <c r="AE55" s="191" t="str">
        <f>IF(AD55="","",$B55*'AEO 2018_Table 13'!AE$16/'AEO 2018_Table 13'!$C$16)</f>
        <v/>
      </c>
      <c r="AF55" s="191" t="str">
        <f>IF(AE55="","",$B55*'AEO 2018_Table 13'!AF$16/'AEO 2018_Table 13'!$C$16)</f>
        <v/>
      </c>
      <c r="AG55" s="191" t="str">
        <f>IF(AF55="","",$B55*'AEO 2018_Table 13'!AG$16/'AEO 2018_Table 13'!$C$16)</f>
        <v/>
      </c>
      <c r="AH55" s="191" t="str">
        <f>IF(AG55="","",$B55*'AEO 2018_Table 13'!AH$16/'AEO 2018_Table 13'!$C$16)</f>
        <v/>
      </c>
      <c r="AI55" s="191" t="str">
        <f>IF(AH55="","",$B55*'AEO 2018_Table 13'!AI$16/'AEO 2018_Table 13'!$C$16)</f>
        <v/>
      </c>
      <c r="AJ55" s="191" t="str">
        <f>IF(AI55="","",$B55*'AEO 2018_Table 13'!AJ$16/'AEO 2018_Table 13'!$C$16)</f>
        <v/>
      </c>
      <c r="AK55" s="191" t="str">
        <f>IF(AJ55="","",$B55*'AEO 2018_Table 13'!AK$16/'AEO 2018_Table 13'!$C$16)</f>
        <v/>
      </c>
    </row>
    <row r="56" spans="1:37" x14ac:dyDescent="0.25">
      <c r="A56" s="213" t="s">
        <v>1216</v>
      </c>
      <c r="B56" s="193">
        <v>120.67322120117747</v>
      </c>
      <c r="C56" s="193">
        <f>IF(B56="","",$B56*'AEO 2018_Table 13'!C$16/'AEO 2018_Table 13'!$C$16)</f>
        <v>120.67322120117747</v>
      </c>
      <c r="D56" s="193">
        <f>IF(C56="","",$B56*'AEO 2018_Table 13'!D$16/'AEO 2018_Table 13'!$C$16)</f>
        <v>121.38591117879488</v>
      </c>
      <c r="E56" s="193">
        <f>IF(D56="","",$B56*'AEO 2018_Table 13'!E$16/'AEO 2018_Table 13'!$C$16)</f>
        <v>129.71363426003845</v>
      </c>
      <c r="F56" s="193">
        <f>IF(E56="","",$B56*'AEO 2018_Table 13'!F$16/'AEO 2018_Table 13'!$C$16)</f>
        <v>139.71336841501574</v>
      </c>
      <c r="G56" s="193">
        <f>IF(F56="","",$B56*'AEO 2018_Table 13'!G$16/'AEO 2018_Table 13'!$C$16)</f>
        <v>146.30388727883189</v>
      </c>
      <c r="H56" s="193">
        <f>IF(G56="","",$B56*'AEO 2018_Table 13'!H$16/'AEO 2018_Table 13'!$C$16)</f>
        <v>148.22213528412988</v>
      </c>
      <c r="I56" s="193">
        <f>IF(H56="","",$B56*'AEO 2018_Table 13'!I$16/'AEO 2018_Table 13'!$C$16)</f>
        <v>151.60177759640777</v>
      </c>
      <c r="J56" s="193">
        <f>IF(I56="","",$B56*'AEO 2018_Table 13'!J$16/'AEO 2018_Table 13'!$C$16)</f>
        <v>155.01800762324459</v>
      </c>
      <c r="K56" s="193">
        <f>IF(J56="","",$B56*'AEO 2018_Table 13'!K$16/'AEO 2018_Table 13'!$C$16)</f>
        <v>157.57882960518174</v>
      </c>
      <c r="L56" s="193">
        <f>IF(K56="","",$B56*'AEO 2018_Table 13'!L$16/'AEO 2018_Table 13'!$C$16)</f>
        <v>160.29553012273777</v>
      </c>
      <c r="M56" s="193">
        <f>IF(L56="","",$B56*'AEO 2018_Table 13'!M$16/'AEO 2018_Table 13'!$C$16)</f>
        <v>162.3129161420683</v>
      </c>
      <c r="N56" s="193">
        <f>IF(M56="","",$B56*'AEO 2018_Table 13'!N$16/'AEO 2018_Table 13'!$C$16)</f>
        <v>164.92261282448931</v>
      </c>
      <c r="O56" s="193">
        <f>IF(N56="","",$B56*'AEO 2018_Table 13'!O$16/'AEO 2018_Table 13'!$C$16)</f>
        <v>167.30222528086748</v>
      </c>
      <c r="P56" s="193">
        <f>IF(O56="","",$B56*'AEO 2018_Table 13'!P$16/'AEO 2018_Table 13'!$C$16)</f>
        <v>168.70753753761753</v>
      </c>
      <c r="Q56" s="193">
        <f>IF(P56="","",$B56*'AEO 2018_Table 13'!Q$16/'AEO 2018_Table 13'!$C$16)</f>
        <v>169.45258667904167</v>
      </c>
      <c r="R56" s="193">
        <f>IF(Q56="","",$B56*'AEO 2018_Table 13'!R$16/'AEO 2018_Table 13'!$C$16)</f>
        <v>170.23784736718417</v>
      </c>
      <c r="S56" s="193">
        <f>IF(R56="","",$B56*'AEO 2018_Table 13'!S$16/'AEO 2018_Table 13'!$C$16)</f>
        <v>170.74119272679107</v>
      </c>
      <c r="T56" s="193">
        <f>IF(S56="","",$B56*'AEO 2018_Table 13'!T$16/'AEO 2018_Table 13'!$C$16)</f>
        <v>171.33454260998167</v>
      </c>
      <c r="U56" s="193">
        <f>IF(T56="","",$B56*'AEO 2018_Table 13'!U$16/'AEO 2018_Table 13'!$C$16)</f>
        <v>172.66494591098143</v>
      </c>
      <c r="V56" s="193">
        <f>IF(U56="","",$B56*'AEO 2018_Table 13'!V$16/'AEO 2018_Table 13'!$C$16)</f>
        <v>173.444853719729</v>
      </c>
      <c r="W56" s="193">
        <f>IF(V56="","",$B56*'AEO 2018_Table 13'!W$16/'AEO 2018_Table 13'!$C$16)</f>
        <v>174.7746254257541</v>
      </c>
      <c r="X56" s="193">
        <f>IF(W56="","",$B56*'AEO 2018_Table 13'!X$16/'AEO 2018_Table 13'!$C$16)</f>
        <v>176.3794679417245</v>
      </c>
      <c r="Y56" s="193">
        <f>IF(X56="","",$B56*'AEO 2018_Table 13'!Y$16/'AEO 2018_Table 13'!$C$16)</f>
        <v>177.25076440772355</v>
      </c>
      <c r="Z56" s="193">
        <f>IF(Y56="","",$B56*'AEO 2018_Table 13'!Z$16/'AEO 2018_Table 13'!$C$16)</f>
        <v>178.37252635603915</v>
      </c>
      <c r="AA56" s="193">
        <f>IF(Z56="","",$B56*'AEO 2018_Table 13'!AA$16/'AEO 2018_Table 13'!$C$16)</f>
        <v>179.86893162983984</v>
      </c>
      <c r="AB56" s="193">
        <f>IF(AA56="","",$B56*'AEO 2018_Table 13'!AB$16/'AEO 2018_Table 13'!$C$16)</f>
        <v>180.98534965755442</v>
      </c>
      <c r="AC56" s="193">
        <f>IF(AB56="","",$B56*'AEO 2018_Table 13'!AC$16/'AEO 2018_Table 13'!$C$16)</f>
        <v>182.39351529018279</v>
      </c>
      <c r="AD56" s="193">
        <f>IF(AC56="","",$B56*'AEO 2018_Table 13'!AD$16/'AEO 2018_Table 13'!$C$16)</f>
        <v>183.61742540730356</v>
      </c>
      <c r="AE56" s="193">
        <f>IF(AD56="","",$B56*'AEO 2018_Table 13'!AE$16/'AEO 2018_Table 13'!$C$16)</f>
        <v>184.80016090735467</v>
      </c>
      <c r="AF56" s="193">
        <f>IF(AE56="","",$B56*'AEO 2018_Table 13'!AF$16/'AEO 2018_Table 13'!$C$16)</f>
        <v>185.72902210398507</v>
      </c>
      <c r="AG56" s="193">
        <f>IF(AF56="","",$B56*'AEO 2018_Table 13'!AG$16/'AEO 2018_Table 13'!$C$16)</f>
        <v>187.06022721704483</v>
      </c>
      <c r="AH56" s="193">
        <f>IF(AG56="","",$B56*'AEO 2018_Table 13'!AH$16/'AEO 2018_Table 13'!$C$16)</f>
        <v>188.47160457731013</v>
      </c>
      <c r="AI56" s="193">
        <f>IF(AH56="","",$B56*'AEO 2018_Table 13'!AI$16/'AEO 2018_Table 13'!$C$16)</f>
        <v>189.92423270439389</v>
      </c>
      <c r="AJ56" s="193">
        <f>IF(AI56="","",$B56*'AEO 2018_Table 13'!AJ$16/'AEO 2018_Table 13'!$C$16)</f>
        <v>190.82167093118701</v>
      </c>
      <c r="AK56" s="193">
        <f>IF(AJ56="","",$B56*'AEO 2018_Table 13'!AK$16/'AEO 2018_Table 13'!$C$16)</f>
        <v>192.51995366822726</v>
      </c>
    </row>
    <row r="57" spans="1:37" x14ac:dyDescent="0.25">
      <c r="A57" s="206" t="s">
        <v>1217</v>
      </c>
      <c r="B57" s="195">
        <v>88.464293831705817</v>
      </c>
      <c r="C57" s="195">
        <f>IF(B57="","",$B57*'AEO 2018_Table 13'!C$16/'AEO 2018_Table 13'!$C$16)</f>
        <v>88.464293831705817</v>
      </c>
      <c r="D57" s="195">
        <f>IF(C57="","",$B57*'AEO 2018_Table 13'!D$16/'AEO 2018_Table 13'!$C$16)</f>
        <v>88.986759503569758</v>
      </c>
      <c r="E57" s="195">
        <f>IF(D57="","",$B57*'AEO 2018_Table 13'!E$16/'AEO 2018_Table 13'!$C$16)</f>
        <v>95.091727401791573</v>
      </c>
      <c r="F57" s="195">
        <f>IF(E57="","",$B57*'AEO 2018_Table 13'!F$16/'AEO 2018_Table 13'!$C$16)</f>
        <v>102.42242937294458</v>
      </c>
      <c r="G57" s="195">
        <f>IF(F57="","",$B57*'AEO 2018_Table 13'!G$16/'AEO 2018_Table 13'!$C$16)</f>
        <v>107.25387077699938</v>
      </c>
      <c r="H57" s="195">
        <f>IF(G57="","",$B57*'AEO 2018_Table 13'!H$16/'AEO 2018_Table 13'!$C$16)</f>
        <v>108.6601186047578</v>
      </c>
      <c r="I57" s="195">
        <f>IF(H57="","",$B57*'AEO 2018_Table 13'!I$16/'AEO 2018_Table 13'!$C$16)</f>
        <v>111.13769952605418</v>
      </c>
      <c r="J57" s="195">
        <f>IF(I57="","",$B57*'AEO 2018_Table 13'!J$16/'AEO 2018_Table 13'!$C$16)</f>
        <v>113.64210252352584</v>
      </c>
      <c r="K57" s="195">
        <f>IF(J57="","",$B57*'AEO 2018_Table 13'!K$16/'AEO 2018_Table 13'!$C$16)</f>
        <v>115.51941470601167</v>
      </c>
      <c r="L57" s="195">
        <f>IF(K57="","",$B57*'AEO 2018_Table 13'!L$16/'AEO 2018_Table 13'!$C$16)</f>
        <v>117.51099983521912</v>
      </c>
      <c r="M57" s="195">
        <f>IF(L57="","",$B57*'AEO 2018_Table 13'!M$16/'AEO 2018_Table 13'!$C$16)</f>
        <v>118.9899247185493</v>
      </c>
      <c r="N57" s="195">
        <f>IF(M57="","",$B57*'AEO 2018_Table 13'!N$16/'AEO 2018_Table 13'!$C$16)</f>
        <v>120.90306643986325</v>
      </c>
      <c r="O57" s="195">
        <f>IF(N57="","",$B57*'AEO 2018_Table 13'!O$16/'AEO 2018_Table 13'!$C$16)</f>
        <v>122.64753578816779</v>
      </c>
      <c r="P57" s="195">
        <f>IF(O57="","",$B57*'AEO 2018_Table 13'!P$16/'AEO 2018_Table 13'!$C$16)</f>
        <v>123.67775570911593</v>
      </c>
      <c r="Q57" s="195">
        <f>IF(P57="","",$B57*'AEO 2018_Table 13'!Q$16/'AEO 2018_Table 13'!$C$16)</f>
        <v>124.22394355021224</v>
      </c>
      <c r="R57" s="195">
        <f>IF(Q57="","",$B57*'AEO 2018_Table 13'!R$16/'AEO 2018_Table 13'!$C$16)</f>
        <v>124.79961006146343</v>
      </c>
      <c r="S57" s="195">
        <f>IF(R57="","",$B57*'AEO 2018_Table 13'!S$16/'AEO 2018_Table 13'!$C$16)</f>
        <v>125.16860735305686</v>
      </c>
      <c r="T57" s="195">
        <f>IF(S57="","",$B57*'AEO 2018_Table 13'!T$16/'AEO 2018_Table 13'!$C$16)</f>
        <v>125.60358603257743</v>
      </c>
      <c r="U57" s="195">
        <f>IF(T57="","",$B57*'AEO 2018_Table 13'!U$16/'AEO 2018_Table 13'!$C$16)</f>
        <v>126.57889097068049</v>
      </c>
      <c r="V57" s="195">
        <f>IF(U57="","",$B57*'AEO 2018_Table 13'!V$16/'AEO 2018_Table 13'!$C$16)</f>
        <v>127.15063334125719</v>
      </c>
      <c r="W57" s="195">
        <f>IF(V57="","",$B57*'AEO 2018_Table 13'!W$16/'AEO 2018_Table 13'!$C$16)</f>
        <v>128.12547526359867</v>
      </c>
      <c r="X57" s="195">
        <f>IF(W57="","",$B57*'AEO 2018_Table 13'!X$16/'AEO 2018_Table 13'!$C$16)</f>
        <v>129.30196875961411</v>
      </c>
      <c r="Y57" s="195">
        <f>IF(X57="","",$B57*'AEO 2018_Table 13'!Y$16/'AEO 2018_Table 13'!$C$16)</f>
        <v>129.94070721223375</v>
      </c>
      <c r="Z57" s="195">
        <f>IF(Y57="","",$B57*'AEO 2018_Table 13'!Z$16/'AEO 2018_Table 13'!$C$16)</f>
        <v>130.76305932662356</v>
      </c>
      <c r="AA57" s="195">
        <f>IF(Z57="","",$B57*'AEO 2018_Table 13'!AA$16/'AEO 2018_Table 13'!$C$16)</f>
        <v>131.86005859883264</v>
      </c>
      <c r="AB57" s="195">
        <f>IF(AA57="","",$B57*'AEO 2018_Table 13'!AB$16/'AEO 2018_Table 13'!$C$16)</f>
        <v>132.6784931401474</v>
      </c>
      <c r="AC57" s="195">
        <f>IF(AB57="","",$B57*'AEO 2018_Table 13'!AC$16/'AEO 2018_Table 13'!$C$16)</f>
        <v>133.71080484152202</v>
      </c>
      <c r="AD57" s="195">
        <f>IF(AC57="","",$B57*'AEO 2018_Table 13'!AD$16/'AEO 2018_Table 13'!$C$16)</f>
        <v>134.60804072490055</v>
      </c>
      <c r="AE57" s="195">
        <f>IF(AD57="","",$B57*'AEO 2018_Table 13'!AE$16/'AEO 2018_Table 13'!$C$16)</f>
        <v>135.47509192118278</v>
      </c>
      <c r="AF57" s="195">
        <f>IF(AE57="","",$B57*'AEO 2018_Table 13'!AF$16/'AEO 2018_Table 13'!$C$16)</f>
        <v>136.15603048410213</v>
      </c>
      <c r="AG57" s="195">
        <f>IF(AF57="","",$B57*'AEO 2018_Table 13'!AG$16/'AEO 2018_Table 13'!$C$16)</f>
        <v>137.13192322235648</v>
      </c>
      <c r="AH57" s="195">
        <f>IF(AG57="","",$B57*'AEO 2018_Table 13'!AH$16/'AEO 2018_Table 13'!$C$16)</f>
        <v>138.16658940813579</v>
      </c>
      <c r="AI57" s="195">
        <f>IF(AH57="","",$B57*'AEO 2018_Table 13'!AI$16/'AEO 2018_Table 13'!$C$16)</f>
        <v>139.23149610560682</v>
      </c>
      <c r="AJ57" s="195">
        <f>IF(AI57="","",$B57*'AEO 2018_Table 13'!AJ$16/'AEO 2018_Table 13'!$C$16)</f>
        <v>139.88939881343691</v>
      </c>
      <c r="AK57" s="195">
        <f>IF(AJ57="","",$B57*'AEO 2018_Table 13'!AK$16/'AEO 2018_Table 13'!$C$16)</f>
        <v>141.13439237177059</v>
      </c>
    </row>
    <row r="58" spans="1:37" x14ac:dyDescent="0.25">
      <c r="A58" s="207" t="s">
        <v>1218</v>
      </c>
      <c r="B58" s="191"/>
      <c r="C58" s="191" t="str">
        <f>IF(B58="","",$B58*'AEO 2018_Table 13'!C$16/'AEO 2018_Table 13'!$C$16)</f>
        <v/>
      </c>
      <c r="D58" s="191" t="str">
        <f>IF(C58="","",$B58*'AEO 2018_Table 13'!D$16/'AEO 2018_Table 13'!$C$16)</f>
        <v/>
      </c>
      <c r="E58" s="191" t="str">
        <f>IF(D58="","",$B58*'AEO 2018_Table 13'!E$16/'AEO 2018_Table 13'!$C$16)</f>
        <v/>
      </c>
      <c r="F58" s="191" t="str">
        <f>IF(E58="","",$B58*'AEO 2018_Table 13'!F$16/'AEO 2018_Table 13'!$C$16)</f>
        <v/>
      </c>
      <c r="G58" s="191" t="str">
        <f>IF(F58="","",$B58*'AEO 2018_Table 13'!G$16/'AEO 2018_Table 13'!$C$16)</f>
        <v/>
      </c>
      <c r="H58" s="191" t="str">
        <f>IF(G58="","",$B58*'AEO 2018_Table 13'!H$16/'AEO 2018_Table 13'!$C$16)</f>
        <v/>
      </c>
      <c r="I58" s="191" t="str">
        <f>IF(H58="","",$B58*'AEO 2018_Table 13'!I$16/'AEO 2018_Table 13'!$C$16)</f>
        <v/>
      </c>
      <c r="J58" s="191" t="str">
        <f>IF(I58="","",$B58*'AEO 2018_Table 13'!J$16/'AEO 2018_Table 13'!$C$16)</f>
        <v/>
      </c>
      <c r="K58" s="191" t="str">
        <f>IF(J58="","",$B58*'AEO 2018_Table 13'!K$16/'AEO 2018_Table 13'!$C$16)</f>
        <v/>
      </c>
      <c r="L58" s="191" t="str">
        <f>IF(K58="","",$B58*'AEO 2018_Table 13'!L$16/'AEO 2018_Table 13'!$C$16)</f>
        <v/>
      </c>
      <c r="M58" s="191" t="str">
        <f>IF(L58="","",$B58*'AEO 2018_Table 13'!M$16/'AEO 2018_Table 13'!$C$16)</f>
        <v/>
      </c>
      <c r="N58" s="191" t="str">
        <f>IF(M58="","",$B58*'AEO 2018_Table 13'!N$16/'AEO 2018_Table 13'!$C$16)</f>
        <v/>
      </c>
      <c r="O58" s="191" t="str">
        <f>IF(N58="","",$B58*'AEO 2018_Table 13'!O$16/'AEO 2018_Table 13'!$C$16)</f>
        <v/>
      </c>
      <c r="P58" s="191" t="str">
        <f>IF(O58="","",$B58*'AEO 2018_Table 13'!P$16/'AEO 2018_Table 13'!$C$16)</f>
        <v/>
      </c>
      <c r="Q58" s="191" t="str">
        <f>IF(P58="","",$B58*'AEO 2018_Table 13'!Q$16/'AEO 2018_Table 13'!$C$16)</f>
        <v/>
      </c>
      <c r="R58" s="191" t="str">
        <f>IF(Q58="","",$B58*'AEO 2018_Table 13'!R$16/'AEO 2018_Table 13'!$C$16)</f>
        <v/>
      </c>
      <c r="S58" s="191" t="str">
        <f>IF(R58="","",$B58*'AEO 2018_Table 13'!S$16/'AEO 2018_Table 13'!$C$16)</f>
        <v/>
      </c>
      <c r="T58" s="191" t="str">
        <f>IF(S58="","",$B58*'AEO 2018_Table 13'!T$16/'AEO 2018_Table 13'!$C$16)</f>
        <v/>
      </c>
      <c r="U58" s="191" t="str">
        <f>IF(T58="","",$B58*'AEO 2018_Table 13'!U$16/'AEO 2018_Table 13'!$C$16)</f>
        <v/>
      </c>
      <c r="V58" s="191" t="str">
        <f>IF(U58="","",$B58*'AEO 2018_Table 13'!V$16/'AEO 2018_Table 13'!$C$16)</f>
        <v/>
      </c>
      <c r="W58" s="191" t="str">
        <f>IF(V58="","",$B58*'AEO 2018_Table 13'!W$16/'AEO 2018_Table 13'!$C$16)</f>
        <v/>
      </c>
      <c r="X58" s="191" t="str">
        <f>IF(W58="","",$B58*'AEO 2018_Table 13'!X$16/'AEO 2018_Table 13'!$C$16)</f>
        <v/>
      </c>
      <c r="Y58" s="191" t="str">
        <f>IF(X58="","",$B58*'AEO 2018_Table 13'!Y$16/'AEO 2018_Table 13'!$C$16)</f>
        <v/>
      </c>
      <c r="Z58" s="191" t="str">
        <f>IF(Y58="","",$B58*'AEO 2018_Table 13'!Z$16/'AEO 2018_Table 13'!$C$16)</f>
        <v/>
      </c>
      <c r="AA58" s="191" t="str">
        <f>IF(Z58="","",$B58*'AEO 2018_Table 13'!AA$16/'AEO 2018_Table 13'!$C$16)</f>
        <v/>
      </c>
      <c r="AB58" s="191" t="str">
        <f>IF(AA58="","",$B58*'AEO 2018_Table 13'!AB$16/'AEO 2018_Table 13'!$C$16)</f>
        <v/>
      </c>
      <c r="AC58" s="191" t="str">
        <f>IF(AB58="","",$B58*'AEO 2018_Table 13'!AC$16/'AEO 2018_Table 13'!$C$16)</f>
        <v/>
      </c>
      <c r="AD58" s="191" t="str">
        <f>IF(AC58="","",$B58*'AEO 2018_Table 13'!AD$16/'AEO 2018_Table 13'!$C$16)</f>
        <v/>
      </c>
      <c r="AE58" s="191" t="str">
        <f>IF(AD58="","",$B58*'AEO 2018_Table 13'!AE$16/'AEO 2018_Table 13'!$C$16)</f>
        <v/>
      </c>
      <c r="AF58" s="191" t="str">
        <f>IF(AE58="","",$B58*'AEO 2018_Table 13'!AF$16/'AEO 2018_Table 13'!$C$16)</f>
        <v/>
      </c>
      <c r="AG58" s="191" t="str">
        <f>IF(AF58="","",$B58*'AEO 2018_Table 13'!AG$16/'AEO 2018_Table 13'!$C$16)</f>
        <v/>
      </c>
      <c r="AH58" s="191" t="str">
        <f>IF(AG58="","",$B58*'AEO 2018_Table 13'!AH$16/'AEO 2018_Table 13'!$C$16)</f>
        <v/>
      </c>
      <c r="AI58" s="191" t="str">
        <f>IF(AH58="","",$B58*'AEO 2018_Table 13'!AI$16/'AEO 2018_Table 13'!$C$16)</f>
        <v/>
      </c>
      <c r="AJ58" s="191" t="str">
        <f>IF(AI58="","",$B58*'AEO 2018_Table 13'!AJ$16/'AEO 2018_Table 13'!$C$16)</f>
        <v/>
      </c>
      <c r="AK58" s="191" t="str">
        <f>IF(AJ58="","",$B58*'AEO 2018_Table 13'!AK$16/'AEO 2018_Table 13'!$C$16)</f>
        <v/>
      </c>
    </row>
    <row r="59" spans="1:37" x14ac:dyDescent="0.25">
      <c r="A59" s="213" t="s">
        <v>1219</v>
      </c>
      <c r="B59" s="193">
        <v>0.6191097787187807</v>
      </c>
      <c r="C59" s="193">
        <f>IF(B59="","",$B59*'AEO 2018_Table 13'!C$16/'AEO 2018_Table 13'!$C$16)</f>
        <v>0.61910977871878059</v>
      </c>
      <c r="D59" s="193">
        <f>IF(C59="","",$B59*'AEO 2018_Table 13'!D$16/'AEO 2018_Table 13'!$C$16)</f>
        <v>0.62276620994640342</v>
      </c>
      <c r="E59" s="193">
        <f>IF(D59="","",$B59*'AEO 2018_Table 13'!E$16/'AEO 2018_Table 13'!$C$16)</f>
        <v>0.66549130456755945</v>
      </c>
      <c r="F59" s="193">
        <f>IF(E59="","",$B59*'AEO 2018_Table 13'!F$16/'AEO 2018_Table 13'!$C$16)</f>
        <v>0.71679459404893942</v>
      </c>
      <c r="G59" s="193">
        <f>IF(F59="","",$B59*'AEO 2018_Table 13'!G$16/'AEO 2018_Table 13'!$C$16)</f>
        <v>0.75060702264580992</v>
      </c>
      <c r="H59" s="193">
        <f>IF(G59="","",$B59*'AEO 2018_Table 13'!H$16/'AEO 2018_Table 13'!$C$16)</f>
        <v>0.76044852754860759</v>
      </c>
      <c r="I59" s="193">
        <f>IF(H59="","",$B59*'AEO 2018_Table 13'!I$16/'AEO 2018_Table 13'!$C$16)</f>
        <v>0.77778766528998555</v>
      </c>
      <c r="J59" s="193">
        <f>IF(I59="","",$B59*'AEO 2018_Table 13'!J$16/'AEO 2018_Table 13'!$C$16)</f>
        <v>0.79531451503274164</v>
      </c>
      <c r="K59" s="193">
        <f>IF(J59="","",$B59*'AEO 2018_Table 13'!K$16/'AEO 2018_Table 13'!$C$16)</f>
        <v>0.80845272345043351</v>
      </c>
      <c r="L59" s="193">
        <f>IF(K59="","",$B59*'AEO 2018_Table 13'!L$16/'AEO 2018_Table 13'!$C$16)</f>
        <v>0.82239066129221305</v>
      </c>
      <c r="M59" s="193">
        <f>IF(L59="","",$B59*'AEO 2018_Table 13'!M$16/'AEO 2018_Table 13'!$C$16)</f>
        <v>0.83274079033978232</v>
      </c>
      <c r="N59" s="193">
        <f>IF(M59="","",$B59*'AEO 2018_Table 13'!N$16/'AEO 2018_Table 13'!$C$16)</f>
        <v>0.84612974871426083</v>
      </c>
      <c r="O59" s="193">
        <f>IF(N59="","",$B59*'AEO 2018_Table 13'!O$16/'AEO 2018_Table 13'!$C$16)</f>
        <v>0.85833826794197476</v>
      </c>
      <c r="P59" s="193">
        <f>IF(O59="","",$B59*'AEO 2018_Table 13'!P$16/'AEO 2018_Table 13'!$C$16)</f>
        <v>0.86554817376571047</v>
      </c>
      <c r="Q59" s="193">
        <f>IF(P59="","",$B59*'AEO 2018_Table 13'!Q$16/'AEO 2018_Table 13'!$C$16)</f>
        <v>0.86937062256164299</v>
      </c>
      <c r="R59" s="193">
        <f>IF(Q59="","",$B59*'AEO 2018_Table 13'!R$16/'AEO 2018_Table 13'!$C$16)</f>
        <v>0.87339937530424161</v>
      </c>
      <c r="S59" s="193">
        <f>IF(R59="","",$B59*'AEO 2018_Table 13'!S$16/'AEO 2018_Table 13'!$C$16)</f>
        <v>0.875981771225254</v>
      </c>
      <c r="T59" s="193">
        <f>IF(S59="","",$B59*'AEO 2018_Table 13'!T$16/'AEO 2018_Table 13'!$C$16)</f>
        <v>0.87902593223486625</v>
      </c>
      <c r="U59" s="193">
        <f>IF(T59="","",$B59*'AEO 2018_Table 13'!U$16/'AEO 2018_Table 13'!$C$16)</f>
        <v>0.88585152025754399</v>
      </c>
      <c r="V59" s="193">
        <f>IF(U59="","",$B59*'AEO 2018_Table 13'!V$16/'AEO 2018_Table 13'!$C$16)</f>
        <v>0.88985281023794316</v>
      </c>
      <c r="W59" s="193">
        <f>IF(V59="","",$B59*'AEO 2018_Table 13'!W$16/'AEO 2018_Table 13'!$C$16)</f>
        <v>0.89667515788449503</v>
      </c>
      <c r="X59" s="193">
        <f>IF(W59="","",$B59*'AEO 2018_Table 13'!X$16/'AEO 2018_Table 13'!$C$16)</f>
        <v>0.90490874678724342</v>
      </c>
      <c r="Y59" s="193">
        <f>IF(X59="","",$B59*'AEO 2018_Table 13'!Y$16/'AEO 2018_Table 13'!$C$16)</f>
        <v>0.90937890310604974</v>
      </c>
      <c r="Z59" s="193">
        <f>IF(Y59="","",$B59*'AEO 2018_Table 13'!Z$16/'AEO 2018_Table 13'!$C$16)</f>
        <v>0.9151340639004979</v>
      </c>
      <c r="AA59" s="193">
        <f>IF(Z59="","",$B59*'AEO 2018_Table 13'!AA$16/'AEO 2018_Table 13'!$C$16)</f>
        <v>0.92281131929083737</v>
      </c>
      <c r="AB59" s="193">
        <f>IF(AA59="","",$B59*'AEO 2018_Table 13'!AB$16/'AEO 2018_Table 13'!$C$16)</f>
        <v>0.92853906328586799</v>
      </c>
      <c r="AC59" s="193">
        <f>IF(AB59="","",$B59*'AEO 2018_Table 13'!AC$16/'AEO 2018_Table 13'!$C$16)</f>
        <v>0.93576360825564653</v>
      </c>
      <c r="AD59" s="193">
        <f>IF(AC59="","",$B59*'AEO 2018_Table 13'!AD$16/'AEO 2018_Table 13'!$C$16)</f>
        <v>0.94204283668959288</v>
      </c>
      <c r="AE59" s="193">
        <f>IF(AD59="","",$B59*'AEO 2018_Table 13'!AE$16/'AEO 2018_Table 13'!$C$16)</f>
        <v>0.94811082017781634</v>
      </c>
      <c r="AF59" s="193">
        <f>IF(AE59="","",$B59*'AEO 2018_Table 13'!AF$16/'AEO 2018_Table 13'!$C$16)</f>
        <v>0.9528763103518757</v>
      </c>
      <c r="AG59" s="193">
        <f>IF(AF59="","",$B59*'AEO 2018_Table 13'!AG$16/'AEO 2018_Table 13'!$C$16)</f>
        <v>0.95970601204353567</v>
      </c>
      <c r="AH59" s="193">
        <f>IF(AG59="","",$B59*'AEO 2018_Table 13'!AH$16/'AEO 2018_Table 13'!$C$16)</f>
        <v>0.9669470346706337</v>
      </c>
      <c r="AI59" s="193">
        <f>IF(AH59="","",$B59*'AEO 2018_Table 13'!AI$16/'AEO 2018_Table 13'!$C$16)</f>
        <v>0.97439969292710138</v>
      </c>
      <c r="AJ59" s="193">
        <f>IF(AI59="","",$B59*'AEO 2018_Table 13'!AJ$16/'AEO 2018_Table 13'!$C$16)</f>
        <v>0.97900396864356221</v>
      </c>
      <c r="AK59" s="193">
        <f>IF(AJ59="","",$B59*'AEO 2018_Table 13'!AK$16/'AEO 2018_Table 13'!$C$16)</f>
        <v>0.98771694936177834</v>
      </c>
    </row>
    <row r="60" spans="1:37" x14ac:dyDescent="0.25">
      <c r="A60" s="212" t="s">
        <v>1220</v>
      </c>
      <c r="B60" s="196">
        <v>2.5732448148765941</v>
      </c>
      <c r="C60" s="196">
        <f>IF(B60="","",$B60*'AEO 2018_Table 13'!C$16/'AEO 2018_Table 13'!$C$16)</f>
        <v>2.5732448148765941</v>
      </c>
      <c r="D60" s="196">
        <f>IF(C60="","",$B60*'AEO 2018_Table 13'!D$16/'AEO 2018_Table 13'!$C$16)</f>
        <v>2.5884422693844269</v>
      </c>
      <c r="E60" s="196">
        <f>IF(D60="","",$B60*'AEO 2018_Table 13'!E$16/'AEO 2018_Table 13'!$C$16)</f>
        <v>2.7660232606369339</v>
      </c>
      <c r="F60" s="196">
        <f>IF(E60="","",$B60*'AEO 2018_Table 13'!F$16/'AEO 2018_Table 13'!$C$16)</f>
        <v>2.979258341364095</v>
      </c>
      <c r="G60" s="196">
        <f>IF(F60="","",$B60*'AEO 2018_Table 13'!G$16/'AEO 2018_Table 13'!$C$16)</f>
        <v>3.1197950596587734</v>
      </c>
      <c r="H60" s="196">
        <f>IF(G60="","",$B60*'AEO 2018_Table 13'!H$16/'AEO 2018_Table 13'!$C$16)</f>
        <v>3.1606999239206739</v>
      </c>
      <c r="I60" s="196">
        <f>IF(H60="","",$B60*'AEO 2018_Table 13'!I$16/'AEO 2018_Table 13'!$C$16)</f>
        <v>3.232767669934582</v>
      </c>
      <c r="J60" s="196">
        <f>IF(I60="","",$B60*'AEO 2018_Table 13'!J$16/'AEO 2018_Table 13'!$C$16)</f>
        <v>3.3056156151164564</v>
      </c>
      <c r="K60" s="196">
        <f>IF(J60="","",$B60*'AEO 2018_Table 13'!K$16/'AEO 2018_Table 13'!$C$16)</f>
        <v>3.3602227750252491</v>
      </c>
      <c r="L60" s="196">
        <f>IF(K60="","",$B60*'AEO 2018_Table 13'!L$16/'AEO 2018_Table 13'!$C$16)</f>
        <v>3.4181539005126442</v>
      </c>
      <c r="M60" s="196">
        <f>IF(L60="","",$B60*'AEO 2018_Table 13'!M$16/'AEO 2018_Table 13'!$C$16)</f>
        <v>3.4611727912174204</v>
      </c>
      <c r="N60" s="196">
        <f>IF(M60="","",$B60*'AEO 2018_Table 13'!N$16/'AEO 2018_Table 13'!$C$16)</f>
        <v>3.5168221589031075</v>
      </c>
      <c r="O60" s="196">
        <f>IF(N60="","",$B60*'AEO 2018_Table 13'!O$16/'AEO 2018_Table 13'!$C$16)</f>
        <v>3.5675651933049366</v>
      </c>
      <c r="P60" s="196">
        <f>IF(O60="","",$B60*'AEO 2018_Table 13'!P$16/'AEO 2018_Table 13'!$C$16)</f>
        <v>3.5975321772137852</v>
      </c>
      <c r="Q60" s="196">
        <f>IF(P60="","",$B60*'AEO 2018_Table 13'!Q$16/'AEO 2018_Table 13'!$C$16)</f>
        <v>3.6134196609563611</v>
      </c>
      <c r="R60" s="196">
        <f>IF(Q60="","",$B60*'AEO 2018_Table 13'!R$16/'AEO 2018_Table 13'!$C$16)</f>
        <v>3.6301646187355221</v>
      </c>
      <c r="S60" s="196">
        <f>IF(R60="","",$B60*'AEO 2018_Table 13'!S$16/'AEO 2018_Table 13'!$C$16)</f>
        <v>3.6408979929158747</v>
      </c>
      <c r="T60" s="196">
        <f>IF(S60="","",$B60*'AEO 2018_Table 13'!T$16/'AEO 2018_Table 13'!$C$16)</f>
        <v>3.6535506303041019</v>
      </c>
      <c r="U60" s="196">
        <f>IF(T60="","",$B60*'AEO 2018_Table 13'!U$16/'AEO 2018_Table 13'!$C$16)</f>
        <v>3.6819202500251578</v>
      </c>
      <c r="V60" s="196">
        <f>IF(U60="","",$B60*'AEO 2018_Table 13'!V$16/'AEO 2018_Table 13'!$C$16)</f>
        <v>3.6985510626028355</v>
      </c>
      <c r="W60" s="196">
        <f>IF(V60="","",$B60*'AEO 2018_Table 13'!W$16/'AEO 2018_Table 13'!$C$16)</f>
        <v>3.7269072141453066</v>
      </c>
      <c r="X60" s="196">
        <f>IF(W60="","",$B60*'AEO 2018_Table 13'!X$16/'AEO 2018_Table 13'!$C$16)</f>
        <v>3.7611289962590839</v>
      </c>
      <c r="Y60" s="196">
        <f>IF(X60="","",$B60*'AEO 2018_Table 13'!Y$16/'AEO 2018_Table 13'!$C$16)</f>
        <v>3.7797085874147274</v>
      </c>
      <c r="Z60" s="196">
        <f>IF(Y60="","",$B60*'AEO 2018_Table 13'!Z$16/'AEO 2018_Table 13'!$C$16)</f>
        <v>3.8036291232908401</v>
      </c>
      <c r="AA60" s="196">
        <f>IF(Z60="","",$B60*'AEO 2018_Table 13'!AA$16/'AEO 2018_Table 13'!$C$16)</f>
        <v>3.8355385815238496</v>
      </c>
      <c r="AB60" s="196">
        <f>IF(AA60="","",$B60*'AEO 2018_Table 13'!AB$16/'AEO 2018_Table 13'!$C$16)</f>
        <v>3.859345163236473</v>
      </c>
      <c r="AC60" s="196">
        <f>IF(AB60="","",$B60*'AEO 2018_Table 13'!AC$16/'AEO 2018_Table 13'!$C$16)</f>
        <v>3.8893729927464471</v>
      </c>
      <c r="AD60" s="196">
        <f>IF(AC60="","",$B60*'AEO 2018_Table 13'!AD$16/'AEO 2018_Table 13'!$C$16)</f>
        <v>3.9154717438314588</v>
      </c>
      <c r="AE60" s="196">
        <f>IF(AD60="","",$B60*'AEO 2018_Table 13'!AE$16/'AEO 2018_Table 13'!$C$16)</f>
        <v>3.9406924842955182</v>
      </c>
      <c r="AF60" s="196">
        <f>IF(AE60="","",$B60*'AEO 2018_Table 13'!AF$16/'AEO 2018_Table 13'!$C$16)</f>
        <v>3.9604995900823483</v>
      </c>
      <c r="AG60" s="196">
        <f>IF(AF60="","",$B60*'AEO 2018_Table 13'!AG$16/'AEO 2018_Table 13'!$C$16)</f>
        <v>3.9888863077038783</v>
      </c>
      <c r="AH60" s="196">
        <f>IF(AG60="","",$B60*'AEO 2018_Table 13'!AH$16/'AEO 2018_Table 13'!$C$16)</f>
        <v>4.0189826243347424</v>
      </c>
      <c r="AI60" s="196">
        <f>IF(AH60="","",$B60*'AEO 2018_Table 13'!AI$16/'AEO 2018_Table 13'!$C$16)</f>
        <v>4.0499585754095087</v>
      </c>
      <c r="AJ60" s="196">
        <f>IF(AI60="","",$B60*'AEO 2018_Table 13'!AJ$16/'AEO 2018_Table 13'!$C$16)</f>
        <v>4.06909561543198</v>
      </c>
      <c r="AK60" s="196">
        <f>IF(AJ60="","",$B60*'AEO 2018_Table 13'!AK$16/'AEO 2018_Table 13'!$C$16)</f>
        <v>4.1053099238243762</v>
      </c>
    </row>
    <row r="61" spans="1:37" x14ac:dyDescent="0.25">
      <c r="A61" s="212" t="s">
        <v>1221</v>
      </c>
      <c r="B61" s="196">
        <v>2.5539376881837663</v>
      </c>
      <c r="C61" s="196">
        <f>IF(B61="","",$B61*'AEO 2018_Table 13'!C$16/'AEO 2018_Table 13'!$C$16)</f>
        <v>2.5539376881837663</v>
      </c>
      <c r="D61" s="196">
        <f>IF(C61="","",$B61*'AEO 2018_Table 13'!D$16/'AEO 2018_Table 13'!$C$16)</f>
        <v>2.5690211157720091</v>
      </c>
      <c r="E61" s="196">
        <f>IF(D61="","",$B61*'AEO 2018_Table 13'!E$16/'AEO 2018_Table 13'!$C$16)</f>
        <v>2.745269711957973</v>
      </c>
      <c r="F61" s="196">
        <f>IF(E61="","",$B61*'AEO 2018_Table 13'!F$16/'AEO 2018_Table 13'!$C$16)</f>
        <v>2.9569048840036305</v>
      </c>
      <c r="G61" s="196">
        <f>IF(F61="","",$B61*'AEO 2018_Table 13'!G$16/'AEO 2018_Table 13'!$C$16)</f>
        <v>3.0963871514316743</v>
      </c>
      <c r="H61" s="196">
        <f>IF(G61="","",$B61*'AEO 2018_Table 13'!H$16/'AEO 2018_Table 13'!$C$16)</f>
        <v>3.1369851053708215</v>
      </c>
      <c r="I61" s="196">
        <f>IF(H61="","",$B61*'AEO 2018_Table 13'!I$16/'AEO 2018_Table 13'!$C$16)</f>
        <v>3.2085121251022115</v>
      </c>
      <c r="J61" s="196">
        <f>IF(I61="","",$B61*'AEO 2018_Table 13'!J$16/'AEO 2018_Table 13'!$C$16)</f>
        <v>3.28081349014573</v>
      </c>
      <c r="K61" s="196">
        <f>IF(J61="","",$B61*'AEO 2018_Table 13'!K$16/'AEO 2018_Table 13'!$C$16)</f>
        <v>3.3350109310302778</v>
      </c>
      <c r="L61" s="196">
        <f>IF(K61="","",$B61*'AEO 2018_Table 13'!L$16/'AEO 2018_Table 13'!$C$16)</f>
        <v>3.3925073976881759</v>
      </c>
      <c r="M61" s="196">
        <f>IF(L61="","",$B61*'AEO 2018_Table 13'!M$16/'AEO 2018_Table 13'!$C$16)</f>
        <v>3.4352035164715948</v>
      </c>
      <c r="N61" s="196">
        <f>IF(M61="","",$B61*'AEO 2018_Table 13'!N$16/'AEO 2018_Table 13'!$C$16)</f>
        <v>3.4904353454193919</v>
      </c>
      <c r="O61" s="196">
        <f>IF(N61="","",$B61*'AEO 2018_Table 13'!O$16/'AEO 2018_Table 13'!$C$16)</f>
        <v>3.5407976534370431</v>
      </c>
      <c r="P61" s="196">
        <f>IF(O61="","",$B61*'AEO 2018_Table 13'!P$16/'AEO 2018_Table 13'!$C$16)</f>
        <v>3.570539794240569</v>
      </c>
      <c r="Q61" s="196">
        <f>IF(P61="","",$B61*'AEO 2018_Table 13'!Q$16/'AEO 2018_Table 13'!$C$16)</f>
        <v>3.5863080737552089</v>
      </c>
      <c r="R61" s="196">
        <f>IF(Q61="","",$B61*'AEO 2018_Table 13'!R$16/'AEO 2018_Table 13'!$C$16)</f>
        <v>3.60292739365513</v>
      </c>
      <c r="S61" s="196">
        <f>IF(R61="","",$B61*'AEO 2018_Table 13'!S$16/'AEO 2018_Table 13'!$C$16)</f>
        <v>3.6135802350334938</v>
      </c>
      <c r="T61" s="196">
        <f>IF(S61="","",$B61*'AEO 2018_Table 13'!T$16/'AEO 2018_Table 13'!$C$16)</f>
        <v>3.6261379393350439</v>
      </c>
      <c r="U61" s="196">
        <f>IF(T61="","",$B61*'AEO 2018_Table 13'!U$16/'AEO 2018_Table 13'!$C$16)</f>
        <v>3.6542947010182583</v>
      </c>
      <c r="V61" s="196">
        <f>IF(U61="","",$B61*'AEO 2018_Table 13'!V$16/'AEO 2018_Table 13'!$C$16)</f>
        <v>3.6708007321512848</v>
      </c>
      <c r="W61" s="196">
        <f>IF(V61="","",$B61*'AEO 2018_Table 13'!W$16/'AEO 2018_Table 13'!$C$16)</f>
        <v>3.6989441267080285</v>
      </c>
      <c r="X61" s="196">
        <f>IF(W61="","",$B61*'AEO 2018_Table 13'!X$16/'AEO 2018_Table 13'!$C$16)</f>
        <v>3.7329091418484079</v>
      </c>
      <c r="Y61" s="196">
        <f>IF(X61="","",$B61*'AEO 2018_Table 13'!Y$16/'AEO 2018_Table 13'!$C$16)</f>
        <v>3.7513493298200764</v>
      </c>
      <c r="Z61" s="196">
        <f>IF(Y61="","",$B61*'AEO 2018_Table 13'!Z$16/'AEO 2018_Table 13'!$C$16)</f>
        <v>3.7750903892569285</v>
      </c>
      <c r="AA61" s="196">
        <f>IF(Z61="","",$B61*'AEO 2018_Table 13'!AA$16/'AEO 2018_Table 13'!$C$16)</f>
        <v>3.8067604299462814</v>
      </c>
      <c r="AB61" s="196">
        <f>IF(AA61="","",$B61*'AEO 2018_Table 13'!AB$16/'AEO 2018_Table 13'!$C$16)</f>
        <v>3.8303883902208704</v>
      </c>
      <c r="AC61" s="196">
        <f>IF(AB61="","",$B61*'AEO 2018_Table 13'!AC$16/'AEO 2018_Table 13'!$C$16)</f>
        <v>3.8601909200993023</v>
      </c>
      <c r="AD61" s="196">
        <f>IF(AC61="","",$B61*'AEO 2018_Table 13'!AD$16/'AEO 2018_Table 13'!$C$16)</f>
        <v>3.8860938515363692</v>
      </c>
      <c r="AE61" s="196">
        <f>IF(AD61="","",$B61*'AEO 2018_Table 13'!AE$16/'AEO 2018_Table 13'!$C$16)</f>
        <v>3.9111253600903479</v>
      </c>
      <c r="AF61" s="196">
        <f>IF(AE61="","",$B61*'AEO 2018_Table 13'!AF$16/'AEO 2018_Table 13'!$C$16)</f>
        <v>3.9307838526171284</v>
      </c>
      <c r="AG61" s="196">
        <f>IF(AF61="","",$B61*'AEO 2018_Table 13'!AG$16/'AEO 2018_Table 13'!$C$16)</f>
        <v>3.9589575839147977</v>
      </c>
      <c r="AH61" s="196">
        <f>IF(AG61="","",$B61*'AEO 2018_Table 13'!AH$16/'AEO 2018_Table 13'!$C$16)</f>
        <v>3.9888280870533657</v>
      </c>
      <c r="AI61" s="196">
        <f>IF(AH61="","",$B61*'AEO 2018_Table 13'!AI$16/'AEO 2018_Table 13'!$C$16)</f>
        <v>4.019571624714386</v>
      </c>
      <c r="AJ61" s="196">
        <f>IF(AI61="","",$B61*'AEO 2018_Table 13'!AJ$16/'AEO 2018_Table 13'!$C$16)</f>
        <v>4.038565078998686</v>
      </c>
      <c r="AK61" s="196">
        <f>IF(AJ61="","",$B61*'AEO 2018_Table 13'!AK$16/'AEO 2018_Table 13'!$C$16)</f>
        <v>4.074507670438158</v>
      </c>
    </row>
    <row r="62" spans="1:37" x14ac:dyDescent="0.25">
      <c r="A62" s="212" t="s">
        <v>1222</v>
      </c>
      <c r="B62" s="196">
        <v>5.7135389245722132</v>
      </c>
      <c r="C62" s="196">
        <f>IF(B62="","",$B62*'AEO 2018_Table 13'!C$16/'AEO 2018_Table 13'!$C$16)</f>
        <v>5.7135389245722141</v>
      </c>
      <c r="D62" s="196">
        <f>IF(C62="","",$B62*'AEO 2018_Table 13'!D$16/'AEO 2018_Table 13'!$C$16)</f>
        <v>5.7472827982149086</v>
      </c>
      <c r="E62" s="196">
        <f>IF(D62="","",$B62*'AEO 2018_Table 13'!E$16/'AEO 2018_Table 13'!$C$16)</f>
        <v>6.1415771536993002</v>
      </c>
      <c r="F62" s="196">
        <f>IF(E62="","",$B62*'AEO 2018_Table 13'!F$16/'AEO 2018_Table 13'!$C$16)</f>
        <v>6.6150365489249188</v>
      </c>
      <c r="G62" s="196">
        <f>IF(F62="","",$B62*'AEO 2018_Table 13'!G$16/'AEO 2018_Table 13'!$C$16)</f>
        <v>6.9270791519707524</v>
      </c>
      <c r="H62" s="196">
        <f>IF(G62="","",$B62*'AEO 2018_Table 13'!H$16/'AEO 2018_Table 13'!$C$16)</f>
        <v>7.0179028205208889</v>
      </c>
      <c r="I62" s="196">
        <f>IF(H62="","",$B62*'AEO 2018_Table 13'!I$16/'AEO 2018_Table 13'!$C$16)</f>
        <v>7.1779194150074099</v>
      </c>
      <c r="J62" s="196">
        <f>IF(I62="","",$B62*'AEO 2018_Table 13'!J$16/'AEO 2018_Table 13'!$C$16)</f>
        <v>7.3396683352677234</v>
      </c>
      <c r="K62" s="196">
        <f>IF(J62="","",$B62*'AEO 2018_Table 13'!K$16/'AEO 2018_Table 13'!$C$16)</f>
        <v>7.4609160812635462</v>
      </c>
      <c r="L62" s="196">
        <f>IF(K62="","",$B62*'AEO 2018_Table 13'!L$16/'AEO 2018_Table 13'!$C$16)</f>
        <v>7.5895442391842245</v>
      </c>
      <c r="M62" s="196">
        <f>IF(L62="","",$B62*'AEO 2018_Table 13'!M$16/'AEO 2018_Table 13'!$C$16)</f>
        <v>7.6850618149363186</v>
      </c>
      <c r="N62" s="196">
        <f>IF(M62="","",$B62*'AEO 2018_Table 13'!N$16/'AEO 2018_Table 13'!$C$16)</f>
        <v>7.8086236410641003</v>
      </c>
      <c r="O62" s="196">
        <f>IF(N62="","",$B62*'AEO 2018_Table 13'!O$16/'AEO 2018_Table 13'!$C$16)</f>
        <v>7.9212916237331594</v>
      </c>
      <c r="P62" s="196">
        <f>IF(O62="","",$B62*'AEO 2018_Table 13'!P$16/'AEO 2018_Table 13'!$C$16)</f>
        <v>7.9878292217204869</v>
      </c>
      <c r="Q62" s="196">
        <f>IF(P62="","",$B62*'AEO 2018_Table 13'!Q$16/'AEO 2018_Table 13'!$C$16)</f>
        <v>8.0231052111063121</v>
      </c>
      <c r="R62" s="196">
        <f>IF(Q62="","",$B62*'AEO 2018_Table 13'!R$16/'AEO 2018_Table 13'!$C$16)</f>
        <v>8.0602851045655139</v>
      </c>
      <c r="S62" s="196">
        <f>IF(R62="","",$B62*'AEO 2018_Table 13'!S$16/'AEO 2018_Table 13'!$C$16)</f>
        <v>8.0841170970820837</v>
      </c>
      <c r="T62" s="196">
        <f>IF(S62="","",$B62*'AEO 2018_Table 13'!T$16/'AEO 2018_Table 13'!$C$16)</f>
        <v>8.1122105516178511</v>
      </c>
      <c r="U62" s="196">
        <f>IF(T62="","",$B62*'AEO 2018_Table 13'!U$16/'AEO 2018_Table 13'!$C$16)</f>
        <v>8.1752014204284968</v>
      </c>
      <c r="V62" s="196">
        <f>IF(U62="","",$B62*'AEO 2018_Table 13'!V$16/'AEO 2018_Table 13'!$C$16)</f>
        <v>8.2121278700459168</v>
      </c>
      <c r="W62" s="196">
        <f>IF(V62="","",$B62*'AEO 2018_Table 13'!W$16/'AEO 2018_Table 13'!$C$16)</f>
        <v>8.2750888346040998</v>
      </c>
      <c r="X62" s="196">
        <f>IF(W62="","",$B62*'AEO 2018_Table 13'!X$16/'AEO 2018_Table 13'!$C$16)</f>
        <v>8.3510736313264715</v>
      </c>
      <c r="Y62" s="196">
        <f>IF(X62="","",$B62*'AEO 2018_Table 13'!Y$16/'AEO 2018_Table 13'!$C$16)</f>
        <v>8.3923270778142278</v>
      </c>
      <c r="Z62" s="196">
        <f>IF(Y62="","",$B62*'AEO 2018_Table 13'!Z$16/'AEO 2018_Table 13'!$C$16)</f>
        <v>8.4454393631415581</v>
      </c>
      <c r="AA62" s="196">
        <f>IF(Z62="","",$B62*'AEO 2018_Table 13'!AA$16/'AEO 2018_Table 13'!$C$16)</f>
        <v>8.5162899602640287</v>
      </c>
      <c r="AB62" s="196">
        <f>IF(AA62="","",$B62*'AEO 2018_Table 13'!AB$16/'AEO 2018_Table 13'!$C$16)</f>
        <v>8.5691492259233701</v>
      </c>
      <c r="AC62" s="196">
        <f>IF(AB62="","",$B62*'AEO 2018_Table 13'!AC$16/'AEO 2018_Table 13'!$C$16)</f>
        <v>8.6358219232640163</v>
      </c>
      <c r="AD62" s="196">
        <f>IF(AC62="","",$B62*'AEO 2018_Table 13'!AD$16/'AEO 2018_Table 13'!$C$16)</f>
        <v>8.6937706381880115</v>
      </c>
      <c r="AE62" s="196">
        <f>IF(AD62="","",$B62*'AEO 2018_Table 13'!AE$16/'AEO 2018_Table 13'!$C$16)</f>
        <v>8.7497698503558023</v>
      </c>
      <c r="AF62" s="196">
        <f>IF(AE62="","",$B62*'AEO 2018_Table 13'!AF$16/'AEO 2018_Table 13'!$C$16)</f>
        <v>8.7937488255554861</v>
      </c>
      <c r="AG62" s="196">
        <f>IF(AF62="","",$B62*'AEO 2018_Table 13'!AG$16/'AEO 2018_Table 13'!$C$16)</f>
        <v>8.8567776579206754</v>
      </c>
      <c r="AH62" s="196">
        <f>IF(AG62="","",$B62*'AEO 2018_Table 13'!AH$16/'AEO 2018_Table 13'!$C$16)</f>
        <v>8.9236024215663896</v>
      </c>
      <c r="AI62" s="196">
        <f>IF(AH62="","",$B62*'AEO 2018_Table 13'!AI$16/'AEO 2018_Table 13'!$C$16)</f>
        <v>8.9923802934455619</v>
      </c>
      <c r="AJ62" s="196">
        <f>IF(AI62="","",$B62*'AEO 2018_Table 13'!AJ$16/'AEO 2018_Table 13'!$C$16)</f>
        <v>9.0348714790635647</v>
      </c>
      <c r="AK62" s="196">
        <f>IF(AJ62="","",$B62*'AEO 2018_Table 13'!AK$16/'AEO 2018_Table 13'!$C$16)</f>
        <v>9.1152804084550496</v>
      </c>
    </row>
    <row r="63" spans="1:37" x14ac:dyDescent="0.25">
      <c r="A63" s="206" t="s">
        <v>1223</v>
      </c>
      <c r="B63" s="195">
        <v>195.21199999999999</v>
      </c>
      <c r="C63" s="195">
        <f>IF(B63="","",$B63*'AEO 2018_Table 13'!C$16/'AEO 2018_Table 13'!$C$16)</f>
        <v>195.21199999999999</v>
      </c>
      <c r="D63" s="195">
        <f>IF(C63="","",$B63*'AEO 2018_Table 13'!D$16/'AEO 2018_Table 13'!$C$16)</f>
        <v>196.36491225779673</v>
      </c>
      <c r="E63" s="195">
        <f>IF(D63="","",$B63*'AEO 2018_Table 13'!E$16/'AEO 2018_Table 13'!$C$16)</f>
        <v>209.83659604939385</v>
      </c>
      <c r="F63" s="195">
        <f>IF(E63="","",$B63*'AEO 2018_Table 13'!F$16/'AEO 2018_Table 13'!$C$16)</f>
        <v>226.0130773302497</v>
      </c>
      <c r="G63" s="195">
        <f>IF(F63="","",$B63*'AEO 2018_Table 13'!G$16/'AEO 2018_Table 13'!$C$16)</f>
        <v>236.67450126206336</v>
      </c>
      <c r="H63" s="195">
        <f>IF(G63="","",$B63*'AEO 2018_Table 13'!H$16/'AEO 2018_Table 13'!$C$16)</f>
        <v>239.77763405227827</v>
      </c>
      <c r="I63" s="195">
        <f>IF(H63="","",$B63*'AEO 2018_Table 13'!I$16/'AEO 2018_Table 13'!$C$16)</f>
        <v>245.24485145558691</v>
      </c>
      <c r="J63" s="195">
        <f>IF(I63="","",$B63*'AEO 2018_Table 13'!J$16/'AEO 2018_Table 13'!$C$16)</f>
        <v>250.77125648033621</v>
      </c>
      <c r="K63" s="195">
        <f>IF(J63="","",$B63*'AEO 2018_Table 13'!K$16/'AEO 2018_Table 13'!$C$16)</f>
        <v>254.91387549524188</v>
      </c>
      <c r="L63" s="195">
        <f>IF(K63="","",$B63*'AEO 2018_Table 13'!L$16/'AEO 2018_Table 13'!$C$16)</f>
        <v>259.30865783513667</v>
      </c>
      <c r="M63" s="195">
        <f>IF(L63="","",$B63*'AEO 2018_Table 13'!M$16/'AEO 2018_Table 13'!$C$16)</f>
        <v>262.5721653116546</v>
      </c>
      <c r="N63" s="195">
        <f>IF(M63="","",$B63*'AEO 2018_Table 13'!N$16/'AEO 2018_Table 13'!$C$16)</f>
        <v>266.79384849619032</v>
      </c>
      <c r="O63" s="195">
        <f>IF(N63="","",$B63*'AEO 2018_Table 13'!O$16/'AEO 2018_Table 13'!$C$16)</f>
        <v>270.64332646827552</v>
      </c>
      <c r="P63" s="195">
        <f>IF(O63="","",$B63*'AEO 2018_Table 13'!P$16/'AEO 2018_Table 13'!$C$16)</f>
        <v>272.91668764595835</v>
      </c>
      <c r="Q63" s="195">
        <f>IF(P63="","",$B63*'AEO 2018_Table 13'!Q$16/'AEO 2018_Table 13'!$C$16)</f>
        <v>274.12194703613596</v>
      </c>
      <c r="R63" s="195">
        <f>IF(Q63="","",$B63*'AEO 2018_Table 13'!R$16/'AEO 2018_Table 13'!$C$16)</f>
        <v>275.39225628890807</v>
      </c>
      <c r="S63" s="195">
        <f>IF(R63="","",$B63*'AEO 2018_Table 13'!S$16/'AEO 2018_Table 13'!$C$16)</f>
        <v>276.20651361428241</v>
      </c>
      <c r="T63" s="195">
        <f>IF(S63="","",$B63*'AEO 2018_Table 13'!T$16/'AEO 2018_Table 13'!$C$16)</f>
        <v>277.16637045944196</v>
      </c>
      <c r="U63" s="195">
        <f>IF(T63="","",$B63*'AEO 2018_Table 13'!U$16/'AEO 2018_Table 13'!$C$16)</f>
        <v>279.31855208358036</v>
      </c>
      <c r="V63" s="195">
        <f>IF(U63="","",$B63*'AEO 2018_Table 13'!V$16/'AEO 2018_Table 13'!$C$16)</f>
        <v>280.58020203081611</v>
      </c>
      <c r="W63" s="195">
        <f>IF(V63="","",$B63*'AEO 2018_Table 13'!W$16/'AEO 2018_Table 13'!$C$16)</f>
        <v>282.73136192936403</v>
      </c>
      <c r="X63" s="195">
        <f>IF(W63="","",$B63*'AEO 2018_Table 13'!X$16/'AEO 2018_Table 13'!$C$16)</f>
        <v>285.32750143827229</v>
      </c>
      <c r="Y63" s="195">
        <f>IF(X63="","",$B63*'AEO 2018_Table 13'!Y$16/'AEO 2018_Table 13'!$C$16)</f>
        <v>286.73699000605535</v>
      </c>
      <c r="Z63" s="195">
        <f>IF(Y63="","",$B63*'AEO 2018_Table 13'!Z$16/'AEO 2018_Table 13'!$C$16)</f>
        <v>288.55165436385442</v>
      </c>
      <c r="AA63" s="195">
        <f>IF(Z63="","",$B63*'AEO 2018_Table 13'!AA$16/'AEO 2018_Table 13'!$C$16)</f>
        <v>290.97237590755287</v>
      </c>
      <c r="AB63" s="195">
        <f>IF(AA63="","",$B63*'AEO 2018_Table 13'!AB$16/'AEO 2018_Table 13'!$C$16)</f>
        <v>292.77839545237708</v>
      </c>
      <c r="AC63" s="195">
        <f>IF(AB63="","",$B63*'AEO 2018_Table 13'!AC$16/'AEO 2018_Table 13'!$C$16)</f>
        <v>295.05637251091912</v>
      </c>
      <c r="AD63" s="195">
        <f>IF(AC63="","",$B63*'AEO 2018_Table 13'!AD$16/'AEO 2018_Table 13'!$C$16)</f>
        <v>297.03628105570778</v>
      </c>
      <c r="AE63" s="195">
        <f>IF(AD63="","",$B63*'AEO 2018_Table 13'!AE$16/'AEO 2018_Table 13'!$C$16)</f>
        <v>298.94958178753348</v>
      </c>
      <c r="AF63" s="195">
        <f>IF(AE63="","",$B63*'AEO 2018_Table 13'!AF$16/'AEO 2018_Table 13'!$C$16)</f>
        <v>300.45219230966683</v>
      </c>
      <c r="AG63" s="195">
        <f>IF(AF63="","",$B63*'AEO 2018_Table 13'!AG$16/'AEO 2018_Table 13'!$C$16)</f>
        <v>302.60567101806544</v>
      </c>
      <c r="AH63" s="195">
        <f>IF(AG63="","",$B63*'AEO 2018_Table 13'!AH$16/'AEO 2018_Table 13'!$C$16)</f>
        <v>304.88884365992931</v>
      </c>
      <c r="AI63" s="195">
        <f>IF(AH63="","",$B63*'AEO 2018_Table 13'!AI$16/'AEO 2018_Table 13'!$C$16)</f>
        <v>307.23874730152954</v>
      </c>
      <c r="AJ63" s="195">
        <f>IF(AI63="","",$B63*'AEO 2018_Table 13'!AJ$16/'AEO 2018_Table 13'!$C$16)</f>
        <v>308.69052516396579</v>
      </c>
      <c r="AK63" s="195">
        <f>IF(AJ63="","",$B63*'AEO 2018_Table 13'!AK$16/'AEO 2018_Table 13'!$C$16)</f>
        <v>311.43782209002029</v>
      </c>
    </row>
    <row r="64" spans="1:37" x14ac:dyDescent="0.25">
      <c r="A64" s="207" t="s">
        <v>1224</v>
      </c>
      <c r="B64" s="191"/>
      <c r="C64" s="191" t="str">
        <f>IF(B64="","",$B64*'AEO 2018_Table 13'!C$16/'AEO 2018_Table 13'!$C$16)</f>
        <v/>
      </c>
      <c r="D64" s="191" t="str">
        <f>IF(C64="","",$B64*'AEO 2018_Table 13'!D$16/'AEO 2018_Table 13'!$C$16)</f>
        <v/>
      </c>
      <c r="E64" s="191" t="str">
        <f>IF(D64="","",$B64*'AEO 2018_Table 13'!E$16/'AEO 2018_Table 13'!$C$16)</f>
        <v/>
      </c>
      <c r="F64" s="191" t="str">
        <f>IF(E64="","",$B64*'AEO 2018_Table 13'!F$16/'AEO 2018_Table 13'!$C$16)</f>
        <v/>
      </c>
      <c r="G64" s="191" t="str">
        <f>IF(F64="","",$B64*'AEO 2018_Table 13'!G$16/'AEO 2018_Table 13'!$C$16)</f>
        <v/>
      </c>
      <c r="H64" s="191" t="str">
        <f>IF(G64="","",$B64*'AEO 2018_Table 13'!H$16/'AEO 2018_Table 13'!$C$16)</f>
        <v/>
      </c>
      <c r="I64" s="191" t="str">
        <f>IF(H64="","",$B64*'AEO 2018_Table 13'!I$16/'AEO 2018_Table 13'!$C$16)</f>
        <v/>
      </c>
      <c r="J64" s="191" t="str">
        <f>IF(I64="","",$B64*'AEO 2018_Table 13'!J$16/'AEO 2018_Table 13'!$C$16)</f>
        <v/>
      </c>
      <c r="K64" s="191" t="str">
        <f>IF(J64="","",$B64*'AEO 2018_Table 13'!K$16/'AEO 2018_Table 13'!$C$16)</f>
        <v/>
      </c>
      <c r="L64" s="191" t="str">
        <f>IF(K64="","",$B64*'AEO 2018_Table 13'!L$16/'AEO 2018_Table 13'!$C$16)</f>
        <v/>
      </c>
      <c r="M64" s="191" t="str">
        <f>IF(L64="","",$B64*'AEO 2018_Table 13'!M$16/'AEO 2018_Table 13'!$C$16)</f>
        <v/>
      </c>
      <c r="N64" s="191" t="str">
        <f>IF(M64="","",$B64*'AEO 2018_Table 13'!N$16/'AEO 2018_Table 13'!$C$16)</f>
        <v/>
      </c>
      <c r="O64" s="191" t="str">
        <f>IF(N64="","",$B64*'AEO 2018_Table 13'!O$16/'AEO 2018_Table 13'!$C$16)</f>
        <v/>
      </c>
      <c r="P64" s="191" t="str">
        <f>IF(O64="","",$B64*'AEO 2018_Table 13'!P$16/'AEO 2018_Table 13'!$C$16)</f>
        <v/>
      </c>
      <c r="Q64" s="191" t="str">
        <f>IF(P64="","",$B64*'AEO 2018_Table 13'!Q$16/'AEO 2018_Table 13'!$C$16)</f>
        <v/>
      </c>
      <c r="R64" s="191" t="str">
        <f>IF(Q64="","",$B64*'AEO 2018_Table 13'!R$16/'AEO 2018_Table 13'!$C$16)</f>
        <v/>
      </c>
      <c r="S64" s="191" t="str">
        <f>IF(R64="","",$B64*'AEO 2018_Table 13'!S$16/'AEO 2018_Table 13'!$C$16)</f>
        <v/>
      </c>
      <c r="T64" s="191" t="str">
        <f>IF(S64="","",$B64*'AEO 2018_Table 13'!T$16/'AEO 2018_Table 13'!$C$16)</f>
        <v/>
      </c>
      <c r="U64" s="191" t="str">
        <f>IF(T64="","",$B64*'AEO 2018_Table 13'!U$16/'AEO 2018_Table 13'!$C$16)</f>
        <v/>
      </c>
      <c r="V64" s="191" t="str">
        <f>IF(U64="","",$B64*'AEO 2018_Table 13'!V$16/'AEO 2018_Table 13'!$C$16)</f>
        <v/>
      </c>
      <c r="W64" s="191" t="str">
        <f>IF(V64="","",$B64*'AEO 2018_Table 13'!W$16/'AEO 2018_Table 13'!$C$16)</f>
        <v/>
      </c>
      <c r="X64" s="191" t="str">
        <f>IF(W64="","",$B64*'AEO 2018_Table 13'!X$16/'AEO 2018_Table 13'!$C$16)</f>
        <v/>
      </c>
      <c r="Y64" s="191" t="str">
        <f>IF(X64="","",$B64*'AEO 2018_Table 13'!Y$16/'AEO 2018_Table 13'!$C$16)</f>
        <v/>
      </c>
      <c r="Z64" s="191" t="str">
        <f>IF(Y64="","",$B64*'AEO 2018_Table 13'!Z$16/'AEO 2018_Table 13'!$C$16)</f>
        <v/>
      </c>
      <c r="AA64" s="191" t="str">
        <f>IF(Z64="","",$B64*'AEO 2018_Table 13'!AA$16/'AEO 2018_Table 13'!$C$16)</f>
        <v/>
      </c>
      <c r="AB64" s="191" t="str">
        <f>IF(AA64="","",$B64*'AEO 2018_Table 13'!AB$16/'AEO 2018_Table 13'!$C$16)</f>
        <v/>
      </c>
      <c r="AC64" s="191" t="str">
        <f>IF(AB64="","",$B64*'AEO 2018_Table 13'!AC$16/'AEO 2018_Table 13'!$C$16)</f>
        <v/>
      </c>
      <c r="AD64" s="191" t="str">
        <f>IF(AC64="","",$B64*'AEO 2018_Table 13'!AD$16/'AEO 2018_Table 13'!$C$16)</f>
        <v/>
      </c>
      <c r="AE64" s="191" t="str">
        <f>IF(AD64="","",$B64*'AEO 2018_Table 13'!AE$16/'AEO 2018_Table 13'!$C$16)</f>
        <v/>
      </c>
      <c r="AF64" s="191" t="str">
        <f>IF(AE64="","",$B64*'AEO 2018_Table 13'!AF$16/'AEO 2018_Table 13'!$C$16)</f>
        <v/>
      </c>
      <c r="AG64" s="191" t="str">
        <f>IF(AF64="","",$B64*'AEO 2018_Table 13'!AG$16/'AEO 2018_Table 13'!$C$16)</f>
        <v/>
      </c>
      <c r="AH64" s="191" t="str">
        <f>IF(AG64="","",$B64*'AEO 2018_Table 13'!AH$16/'AEO 2018_Table 13'!$C$16)</f>
        <v/>
      </c>
      <c r="AI64" s="191" t="str">
        <f>IF(AH64="","",$B64*'AEO 2018_Table 13'!AI$16/'AEO 2018_Table 13'!$C$16)</f>
        <v/>
      </c>
      <c r="AJ64" s="191" t="str">
        <f>IF(AI64="","",$B64*'AEO 2018_Table 13'!AJ$16/'AEO 2018_Table 13'!$C$16)</f>
        <v/>
      </c>
      <c r="AK64" s="191" t="str">
        <f>IF(AJ64="","",$B64*'AEO 2018_Table 13'!AK$16/'AEO 2018_Table 13'!$C$16)</f>
        <v/>
      </c>
    </row>
    <row r="65" spans="1:37" x14ac:dyDescent="0.25">
      <c r="A65" s="213" t="s">
        <v>1225</v>
      </c>
      <c r="B65" s="193">
        <v>0.702771994233787</v>
      </c>
      <c r="C65" s="193">
        <f>IF(B65="","",$B65*'AEO 2018_Table 13'!C$16/'AEO 2018_Table 13'!$C$16)</f>
        <v>0.702771994233787</v>
      </c>
      <c r="D65" s="193">
        <f>IF(C65="","",$B65*'AEO 2018_Table 13'!D$16/'AEO 2018_Table 13'!$C$16)</f>
        <v>0.70692253030015784</v>
      </c>
      <c r="E65" s="193">
        <f>IF(D65="","",$B65*'AEO 2018_Table 13'!E$16/'AEO 2018_Table 13'!$C$16)</f>
        <v>0.75542119884465142</v>
      </c>
      <c r="F65" s="193">
        <f>IF(E65="","",$B65*'AEO 2018_Table 13'!F$16/'AEO 2018_Table 13'!$C$16)</f>
        <v>0.81365726020067763</v>
      </c>
      <c r="G65" s="193">
        <f>IF(F65="","",$B65*'AEO 2018_Table 13'!G$16/'AEO 2018_Table 13'!$C$16)</f>
        <v>0.85203886664870609</v>
      </c>
      <c r="H65" s="193">
        <f>IF(G65="","",$B65*'AEO 2018_Table 13'!H$16/'AEO 2018_Table 13'!$C$16)</f>
        <v>0.86321028448854997</v>
      </c>
      <c r="I65" s="193">
        <f>IF(H65="","",$B65*'AEO 2018_Table 13'!I$16/'AEO 2018_Table 13'!$C$16)</f>
        <v>0.88289251343673392</v>
      </c>
      <c r="J65" s="193">
        <f>IF(I65="","",$B65*'AEO 2018_Table 13'!J$16/'AEO 2018_Table 13'!$C$16)</f>
        <v>0.90278782048848627</v>
      </c>
      <c r="K65" s="193">
        <f>IF(J65="","",$B65*'AEO 2018_Table 13'!K$16/'AEO 2018_Table 13'!$C$16)</f>
        <v>0.91770143556571548</v>
      </c>
      <c r="L65" s="193">
        <f>IF(K65="","",$B65*'AEO 2018_Table 13'!L$16/'AEO 2018_Table 13'!$C$16)</f>
        <v>0.9335228499727769</v>
      </c>
      <c r="M65" s="193">
        <f>IF(L65="","",$B65*'AEO 2018_Table 13'!M$16/'AEO 2018_Table 13'!$C$16)</f>
        <v>0.94527162390813635</v>
      </c>
      <c r="N65" s="193">
        <f>IF(M65="","",$B65*'AEO 2018_Table 13'!N$16/'AEO 2018_Table 13'!$C$16)</f>
        <v>0.96046987355784741</v>
      </c>
      <c r="O65" s="193">
        <f>IF(N65="","",$B65*'AEO 2018_Table 13'!O$16/'AEO 2018_Table 13'!$C$16)</f>
        <v>0.97432816767501929</v>
      </c>
      <c r="P65" s="193">
        <f>IF(O65="","",$B65*'AEO 2018_Table 13'!P$16/'AEO 2018_Table 13'!$C$16)</f>
        <v>0.98251237032882044</v>
      </c>
      <c r="Q65" s="193">
        <f>IF(P65="","",$B65*'AEO 2018_Table 13'!Q$16/'AEO 2018_Table 13'!$C$16)</f>
        <v>0.98685135842998273</v>
      </c>
      <c r="R65" s="193">
        <f>IF(Q65="","",$B65*'AEO 2018_Table 13'!R$16/'AEO 2018_Table 13'!$C$16)</f>
        <v>0.99142452896695954</v>
      </c>
      <c r="S65" s="193">
        <f>IF(R65="","",$B65*'AEO 2018_Table 13'!S$16/'AEO 2018_Table 13'!$C$16)</f>
        <v>0.99435589202032093</v>
      </c>
      <c r="T65" s="193">
        <f>IF(S65="","",$B65*'AEO 2018_Table 13'!T$16/'AEO 2018_Table 13'!$C$16)</f>
        <v>0.99781141990411781</v>
      </c>
      <c r="U65" s="193">
        <f>IF(T65="","",$B65*'AEO 2018_Table 13'!U$16/'AEO 2018_Table 13'!$C$16)</f>
        <v>1.0055593707060615</v>
      </c>
      <c r="V65" s="193">
        <f>IF(U65="","",$B65*'AEO 2018_Table 13'!V$16/'AEO 2018_Table 13'!$C$16)</f>
        <v>1.0101013673530084</v>
      </c>
      <c r="W65" s="193">
        <f>IF(V65="","",$B65*'AEO 2018_Table 13'!W$16/'AEO 2018_Table 13'!$C$16)</f>
        <v>1.0178456398967981</v>
      </c>
      <c r="X65" s="193">
        <f>IF(W65="","",$B65*'AEO 2018_Table 13'!X$16/'AEO 2018_Table 13'!$C$16)</f>
        <v>1.0271918590840643</v>
      </c>
      <c r="Y65" s="193">
        <f>IF(X65="","",$B65*'AEO 2018_Table 13'!Y$16/'AEO 2018_Table 13'!$C$16)</f>
        <v>1.0322660814250608</v>
      </c>
      <c r="Z65" s="193">
        <f>IF(Y65="","",$B65*'AEO 2018_Table 13'!Z$16/'AEO 2018_Table 13'!$C$16)</f>
        <v>1.0387989548631458</v>
      </c>
      <c r="AA65" s="193">
        <f>IF(Z65="","",$B65*'AEO 2018_Table 13'!AA$16/'AEO 2018_Table 13'!$C$16)</f>
        <v>1.0475136614731373</v>
      </c>
      <c r="AB65" s="193">
        <f>IF(AA65="","",$B65*'AEO 2018_Table 13'!AB$16/'AEO 2018_Table 13'!$C$16)</f>
        <v>1.0540154131950668</v>
      </c>
      <c r="AC65" s="193">
        <f>IF(AB65="","",$B65*'AEO 2018_Table 13'!AC$16/'AEO 2018_Table 13'!$C$16)</f>
        <v>1.0622162332279048</v>
      </c>
      <c r="AD65" s="193">
        <f>IF(AC65="","",$B65*'AEO 2018_Table 13'!AD$16/'AEO 2018_Table 13'!$C$16)</f>
        <v>1.0693439931833464</v>
      </c>
      <c r="AE65" s="193">
        <f>IF(AD65="","",$B65*'AEO 2018_Table 13'!AE$16/'AEO 2018_Table 13'!$C$16)</f>
        <v>1.076231962011462</v>
      </c>
      <c r="AF65" s="193">
        <f>IF(AE65="","",$B65*'AEO 2018_Table 13'!AF$16/'AEO 2018_Table 13'!$C$16)</f>
        <v>1.0816414275832318</v>
      </c>
      <c r="AG65" s="193">
        <f>IF(AF65="","",$B65*'AEO 2018_Table 13'!AG$16/'AEO 2018_Table 13'!$C$16)</f>
        <v>1.0893940479469457</v>
      </c>
      <c r="AH65" s="193">
        <f>IF(AG65="","",$B65*'AEO 2018_Table 13'!AH$16/'AEO 2018_Table 13'!$C$16)</f>
        <v>1.0976135723138016</v>
      </c>
      <c r="AI65" s="193">
        <f>IF(AH65="","",$B65*'AEO 2018_Table 13'!AI$16/'AEO 2018_Table 13'!$C$16)</f>
        <v>1.1060733312859172</v>
      </c>
      <c r="AJ65" s="193">
        <f>IF(AI65="","",$B65*'AEO 2018_Table 13'!AJ$16/'AEO 2018_Table 13'!$C$16)</f>
        <v>1.1112997969927834</v>
      </c>
      <c r="AK65" s="193">
        <f>IF(AJ65="","",$B65*'AEO 2018_Table 13'!AK$16/'AEO 2018_Table 13'!$C$16)</f>
        <v>1.1211901896913661</v>
      </c>
    </row>
    <row r="66" spans="1:37" x14ac:dyDescent="0.25">
      <c r="A66" s="206" t="s">
        <v>1226</v>
      </c>
      <c r="B66" s="195">
        <v>1.3928246988413071</v>
      </c>
      <c r="C66" s="195">
        <f>IF(B66="","",$B66*'AEO 2018_Table 13'!C$16/'AEO 2018_Table 13'!$C$16)</f>
        <v>1.3928246988413069</v>
      </c>
      <c r="D66" s="195">
        <f>IF(C66="","",$B66*'AEO 2018_Table 13'!D$16/'AEO 2018_Table 13'!$C$16)</f>
        <v>1.4010506514889731</v>
      </c>
      <c r="E66" s="195">
        <f>IF(D66="","",$B66*'AEO 2018_Table 13'!E$16/'AEO 2018_Table 13'!$C$16)</f>
        <v>1.4971702236459952</v>
      </c>
      <c r="F66" s="195">
        <f>IF(E66="","",$B66*'AEO 2018_Table 13'!F$16/'AEO 2018_Table 13'!$C$16)</f>
        <v>1.6125883468572737</v>
      </c>
      <c r="G66" s="195">
        <f>IF(F66="","",$B66*'AEO 2018_Table 13'!G$16/'AEO 2018_Table 13'!$C$16)</f>
        <v>1.688656900926941</v>
      </c>
      <c r="H66" s="195">
        <f>IF(G66="","",$B66*'AEO 2018_Table 13'!H$16/'AEO 2018_Table 13'!$C$16)</f>
        <v>1.7107975479875503</v>
      </c>
      <c r="I66" s="195">
        <f>IF(H66="","",$B66*'AEO 2018_Table 13'!I$16/'AEO 2018_Table 13'!$C$16)</f>
        <v>1.7498057822828974</v>
      </c>
      <c r="J66" s="195">
        <f>IF(I66="","",$B66*'AEO 2018_Table 13'!J$16/'AEO 2018_Table 13'!$C$16)</f>
        <v>1.7892363163395717</v>
      </c>
      <c r="K66" s="195">
        <f>IF(J66="","",$B66*'AEO 2018_Table 13'!K$16/'AEO 2018_Table 13'!$C$16)</f>
        <v>1.8187936288093496</v>
      </c>
      <c r="L66" s="195">
        <f>IF(K66="","",$B66*'AEO 2018_Table 13'!L$16/'AEO 2018_Table 13'!$C$16)</f>
        <v>1.8501501099121354</v>
      </c>
      <c r="M66" s="195">
        <f>IF(L66="","",$B66*'AEO 2018_Table 13'!M$16/'AEO 2018_Table 13'!$C$16)</f>
        <v>1.8734350197442535</v>
      </c>
      <c r="N66" s="195">
        <f>IF(M66="","",$B66*'AEO 2018_Table 13'!N$16/'AEO 2018_Table 13'!$C$16)</f>
        <v>1.9035564498310535</v>
      </c>
      <c r="O66" s="195">
        <f>IF(N66="","",$B66*'AEO 2018_Table 13'!O$16/'AEO 2018_Table 13'!$C$16)</f>
        <v>1.9310222203634275</v>
      </c>
      <c r="P66" s="195">
        <f>IF(O66="","",$B66*'AEO 2018_Table 13'!P$16/'AEO 2018_Table 13'!$C$16)</f>
        <v>1.9472425018915285</v>
      </c>
      <c r="Q66" s="195">
        <f>IF(P66="","",$B66*'AEO 2018_Table 13'!Q$16/'AEO 2018_Table 13'!$C$16)</f>
        <v>1.9558419478638545</v>
      </c>
      <c r="R66" s="195">
        <f>IF(Q66="","",$B66*'AEO 2018_Table 13'!R$16/'AEO 2018_Table 13'!$C$16)</f>
        <v>1.9649055203001171</v>
      </c>
      <c r="S66" s="195">
        <f>IF(R66="","",$B66*'AEO 2018_Table 13'!S$16/'AEO 2018_Table 13'!$C$16)</f>
        <v>1.9707151924206519</v>
      </c>
      <c r="T66" s="195">
        <f>IF(S66="","",$B66*'AEO 2018_Table 13'!T$16/'AEO 2018_Table 13'!$C$16)</f>
        <v>1.9775637074775652</v>
      </c>
      <c r="U66" s="195">
        <f>IF(T66="","",$B66*'AEO 2018_Table 13'!U$16/'AEO 2018_Table 13'!$C$16)</f>
        <v>1.9929193809120485</v>
      </c>
      <c r="V66" s="195">
        <f>IF(U66="","",$B66*'AEO 2018_Table 13'!V$16/'AEO 2018_Table 13'!$C$16)</f>
        <v>2.0019211697764714</v>
      </c>
      <c r="W66" s="195">
        <f>IF(V66="","",$B66*'AEO 2018_Table 13'!W$16/'AEO 2018_Table 13'!$C$16)</f>
        <v>2.017269553266495</v>
      </c>
      <c r="X66" s="195">
        <f>IF(W66="","",$B66*'AEO 2018_Table 13'!X$16/'AEO 2018_Table 13'!$C$16)</f>
        <v>2.0357928368230653</v>
      </c>
      <c r="Y66" s="195">
        <f>IF(X66="","",$B66*'AEO 2018_Table 13'!Y$16/'AEO 2018_Table 13'!$C$16)</f>
        <v>2.0458494444595976</v>
      </c>
      <c r="Z66" s="195">
        <f>IF(Y66="","",$B66*'AEO 2018_Table 13'!Z$16/'AEO 2018_Table 13'!$C$16)</f>
        <v>2.0587969545391496</v>
      </c>
      <c r="AA66" s="195">
        <f>IF(Z66="","",$B66*'AEO 2018_Table 13'!AA$16/'AEO 2018_Table 13'!$C$16)</f>
        <v>2.0760686425249317</v>
      </c>
      <c r="AB66" s="195">
        <f>IF(AA66="","",$B66*'AEO 2018_Table 13'!AB$16/'AEO 2018_Table 13'!$C$16)</f>
        <v>2.0889544724361118</v>
      </c>
      <c r="AC66" s="195">
        <f>IF(AB66="","",$B66*'AEO 2018_Table 13'!AC$16/'AEO 2018_Table 13'!$C$16)</f>
        <v>2.1052076879686159</v>
      </c>
      <c r="AD66" s="195">
        <f>IF(AC66="","",$B66*'AEO 2018_Table 13'!AD$16/'AEO 2018_Table 13'!$C$16)</f>
        <v>2.1193342043847614</v>
      </c>
      <c r="AE66" s="195">
        <f>IF(AD66="","",$B66*'AEO 2018_Table 13'!AE$16/'AEO 2018_Table 13'!$C$16)</f>
        <v>2.1329854784642133</v>
      </c>
      <c r="AF66" s="195">
        <f>IF(AE66="","",$B66*'AEO 2018_Table 13'!AF$16/'AEO 2018_Table 13'!$C$16)</f>
        <v>2.1437065050812558</v>
      </c>
      <c r="AG66" s="195">
        <f>IF(AF66="","",$B66*'AEO 2018_Table 13'!AG$16/'AEO 2018_Table 13'!$C$16)</f>
        <v>2.1590714331260821</v>
      </c>
      <c r="AH66" s="195">
        <f>IF(AG66="","",$B66*'AEO 2018_Table 13'!AH$16/'AEO 2018_Table 13'!$C$16)</f>
        <v>2.1753617188016894</v>
      </c>
      <c r="AI66" s="195">
        <f>IF(AH66="","",$B66*'AEO 2018_Table 13'!AI$16/'AEO 2018_Table 13'!$C$16)</f>
        <v>2.1921281257434653</v>
      </c>
      <c r="AJ66" s="195">
        <f>IF(AI66="","",$B66*'AEO 2018_Table 13'!AJ$16/'AEO 2018_Table 13'!$C$16)</f>
        <v>2.202486464698203</v>
      </c>
      <c r="AK66" s="195">
        <f>IF(AJ66="","",$B66*'AEO 2018_Table 13'!AK$16/'AEO 2018_Table 13'!$C$16)</f>
        <v>2.222088246420943</v>
      </c>
    </row>
    <row r="67" spans="1:37" x14ac:dyDescent="0.25">
      <c r="A67" s="219" t="s">
        <v>1227</v>
      </c>
      <c r="B67" s="221"/>
      <c r="C67" s="221" t="str">
        <f>IF(B67="","",$B67*'AEO 2018_Table 13'!C$16/'AEO 2018_Table 13'!$C$16)</f>
        <v/>
      </c>
      <c r="D67" s="221" t="str">
        <f>IF(C67="","",$B67*'AEO 2018_Table 13'!D$16/'AEO 2018_Table 13'!$C$16)</f>
        <v/>
      </c>
      <c r="E67" s="221" t="str">
        <f>IF(D67="","",$B67*'AEO 2018_Table 13'!E$16/'AEO 2018_Table 13'!$C$16)</f>
        <v/>
      </c>
      <c r="F67" s="221" t="str">
        <f>IF(E67="","",$B67*'AEO 2018_Table 13'!F$16/'AEO 2018_Table 13'!$C$16)</f>
        <v/>
      </c>
      <c r="G67" s="221" t="str">
        <f>IF(F67="","",$B67*'AEO 2018_Table 13'!G$16/'AEO 2018_Table 13'!$C$16)</f>
        <v/>
      </c>
      <c r="H67" s="221" t="str">
        <f>IF(G67="","",$B67*'AEO 2018_Table 13'!H$16/'AEO 2018_Table 13'!$C$16)</f>
        <v/>
      </c>
      <c r="I67" s="221" t="str">
        <f>IF(H67="","",$B67*'AEO 2018_Table 13'!I$16/'AEO 2018_Table 13'!$C$16)</f>
        <v/>
      </c>
      <c r="J67" s="221" t="str">
        <f>IF(I67="","",$B67*'AEO 2018_Table 13'!J$16/'AEO 2018_Table 13'!$C$16)</f>
        <v/>
      </c>
      <c r="K67" s="221" t="str">
        <f>IF(J67="","",$B67*'AEO 2018_Table 13'!K$16/'AEO 2018_Table 13'!$C$16)</f>
        <v/>
      </c>
      <c r="L67" s="221" t="str">
        <f>IF(K67="","",$B67*'AEO 2018_Table 13'!L$16/'AEO 2018_Table 13'!$C$16)</f>
        <v/>
      </c>
      <c r="M67" s="221" t="str">
        <f>IF(L67="","",$B67*'AEO 2018_Table 13'!M$16/'AEO 2018_Table 13'!$C$16)</f>
        <v/>
      </c>
      <c r="N67" s="221" t="str">
        <f>IF(M67="","",$B67*'AEO 2018_Table 13'!N$16/'AEO 2018_Table 13'!$C$16)</f>
        <v/>
      </c>
      <c r="O67" s="221" t="str">
        <f>IF(N67="","",$B67*'AEO 2018_Table 13'!O$16/'AEO 2018_Table 13'!$C$16)</f>
        <v/>
      </c>
      <c r="P67" s="221" t="str">
        <f>IF(O67="","",$B67*'AEO 2018_Table 13'!P$16/'AEO 2018_Table 13'!$C$16)</f>
        <v/>
      </c>
      <c r="Q67" s="221" t="str">
        <f>IF(P67="","",$B67*'AEO 2018_Table 13'!Q$16/'AEO 2018_Table 13'!$C$16)</f>
        <v/>
      </c>
      <c r="R67" s="221" t="str">
        <f>IF(Q67="","",$B67*'AEO 2018_Table 13'!R$16/'AEO 2018_Table 13'!$C$16)</f>
        <v/>
      </c>
      <c r="S67" s="221" t="str">
        <f>IF(R67="","",$B67*'AEO 2018_Table 13'!S$16/'AEO 2018_Table 13'!$C$16)</f>
        <v/>
      </c>
      <c r="T67" s="221" t="str">
        <f>IF(S67="","",$B67*'AEO 2018_Table 13'!T$16/'AEO 2018_Table 13'!$C$16)</f>
        <v/>
      </c>
      <c r="U67" s="221" t="str">
        <f>IF(T67="","",$B67*'AEO 2018_Table 13'!U$16/'AEO 2018_Table 13'!$C$16)</f>
        <v/>
      </c>
      <c r="V67" s="221" t="str">
        <f>IF(U67="","",$B67*'AEO 2018_Table 13'!V$16/'AEO 2018_Table 13'!$C$16)</f>
        <v/>
      </c>
      <c r="W67" s="221" t="str">
        <f>IF(V67="","",$B67*'AEO 2018_Table 13'!W$16/'AEO 2018_Table 13'!$C$16)</f>
        <v/>
      </c>
      <c r="X67" s="221" t="str">
        <f>IF(W67="","",$B67*'AEO 2018_Table 13'!X$16/'AEO 2018_Table 13'!$C$16)</f>
        <v/>
      </c>
      <c r="Y67" s="221" t="str">
        <f>IF(X67="","",$B67*'AEO 2018_Table 13'!Y$16/'AEO 2018_Table 13'!$C$16)</f>
        <v/>
      </c>
      <c r="Z67" s="221" t="str">
        <f>IF(Y67="","",$B67*'AEO 2018_Table 13'!Z$16/'AEO 2018_Table 13'!$C$16)</f>
        <v/>
      </c>
      <c r="AA67" s="221" t="str">
        <f>IF(Z67="","",$B67*'AEO 2018_Table 13'!AA$16/'AEO 2018_Table 13'!$C$16)</f>
        <v/>
      </c>
      <c r="AB67" s="221" t="str">
        <f>IF(AA67="","",$B67*'AEO 2018_Table 13'!AB$16/'AEO 2018_Table 13'!$C$16)</f>
        <v/>
      </c>
      <c r="AC67" s="221" t="str">
        <f>IF(AB67="","",$B67*'AEO 2018_Table 13'!AC$16/'AEO 2018_Table 13'!$C$16)</f>
        <v/>
      </c>
      <c r="AD67" s="221" t="str">
        <f>IF(AC67="","",$B67*'AEO 2018_Table 13'!AD$16/'AEO 2018_Table 13'!$C$16)</f>
        <v/>
      </c>
      <c r="AE67" s="221" t="str">
        <f>IF(AD67="","",$B67*'AEO 2018_Table 13'!AE$16/'AEO 2018_Table 13'!$C$16)</f>
        <v/>
      </c>
      <c r="AF67" s="221" t="str">
        <f>IF(AE67="","",$B67*'AEO 2018_Table 13'!AF$16/'AEO 2018_Table 13'!$C$16)</f>
        <v/>
      </c>
      <c r="AG67" s="221" t="str">
        <f>IF(AF67="","",$B67*'AEO 2018_Table 13'!AG$16/'AEO 2018_Table 13'!$C$16)</f>
        <v/>
      </c>
      <c r="AH67" s="221" t="str">
        <f>IF(AG67="","",$B67*'AEO 2018_Table 13'!AH$16/'AEO 2018_Table 13'!$C$16)</f>
        <v/>
      </c>
      <c r="AI67" s="221" t="str">
        <f>IF(AH67="","",$B67*'AEO 2018_Table 13'!AI$16/'AEO 2018_Table 13'!$C$16)</f>
        <v/>
      </c>
      <c r="AJ67" s="221" t="str">
        <f>IF(AI67="","",$B67*'AEO 2018_Table 13'!AJ$16/'AEO 2018_Table 13'!$C$16)</f>
        <v/>
      </c>
      <c r="AK67" s="221" t="str">
        <f>IF(AJ67="","",$B67*'AEO 2018_Table 13'!AK$16/'AEO 2018_Table 13'!$C$16)</f>
        <v/>
      </c>
    </row>
    <row r="68" spans="1:37" x14ac:dyDescent="0.25">
      <c r="A68" s="213" t="s">
        <v>1228</v>
      </c>
      <c r="B68" s="193">
        <v>123.4599692228694</v>
      </c>
      <c r="C68" s="193">
        <f>IF(B68="","",$B68*'AEO 2018_Table 13'!C$16/'AEO 2018_Table 13'!$C$16)</f>
        <v>123.45996922286939</v>
      </c>
      <c r="D68" s="193">
        <f>IF(C68="","",$B68*'AEO 2018_Table 13'!D$16/'AEO 2018_Table 13'!$C$16)</f>
        <v>124.18911759420033</v>
      </c>
      <c r="E68" s="193">
        <f>IF(D68="","",$B68*'AEO 2018_Table 13'!E$16/'AEO 2018_Table 13'!$C$16)</f>
        <v>132.70915563638425</v>
      </c>
      <c r="F68" s="193">
        <f>IF(E68="","",$B68*'AEO 2018_Table 13'!F$16/'AEO 2018_Table 13'!$C$16)</f>
        <v>142.93981707660711</v>
      </c>
      <c r="G68" s="193">
        <f>IF(F68="","",$B68*'AEO 2018_Table 13'!G$16/'AEO 2018_Table 13'!$C$16)</f>
        <v>149.68253304946577</v>
      </c>
      <c r="H68" s="193">
        <f>IF(G68="","",$B68*'AEO 2018_Table 13'!H$16/'AEO 2018_Table 13'!$C$16)</f>
        <v>151.64507981285331</v>
      </c>
      <c r="I68" s="193">
        <f>IF(H68="","",$B68*'AEO 2018_Table 13'!I$16/'AEO 2018_Table 13'!$C$16)</f>
        <v>155.10276936240572</v>
      </c>
      <c r="J68" s="193">
        <f>IF(I68="","",$B68*'AEO 2018_Table 13'!J$16/'AEO 2018_Table 13'!$C$16)</f>
        <v>158.59789155913879</v>
      </c>
      <c r="K68" s="193">
        <f>IF(J68="","",$B68*'AEO 2018_Table 13'!K$16/'AEO 2018_Table 13'!$C$16)</f>
        <v>161.21785148005719</v>
      </c>
      <c r="L68" s="193">
        <f>IF(K68="","",$B68*'AEO 2018_Table 13'!L$16/'AEO 2018_Table 13'!$C$16)</f>
        <v>163.99728969299809</v>
      </c>
      <c r="M68" s="193">
        <f>IF(L68="","",$B68*'AEO 2018_Table 13'!M$16/'AEO 2018_Table 13'!$C$16)</f>
        <v>166.06126389852599</v>
      </c>
      <c r="N68" s="193">
        <f>IF(M68="","",$B68*'AEO 2018_Table 13'!N$16/'AEO 2018_Table 13'!$C$16)</f>
        <v>168.73122720012367</v>
      </c>
      <c r="O68" s="193">
        <f>IF(N68="","",$B68*'AEO 2018_Table 13'!O$16/'AEO 2018_Table 13'!$C$16)</f>
        <v>171.16579286185427</v>
      </c>
      <c r="P68" s="193">
        <f>IF(O68="","",$B68*'AEO 2018_Table 13'!P$16/'AEO 2018_Table 13'!$C$16)</f>
        <v>172.603558475798</v>
      </c>
      <c r="Q68" s="193">
        <f>IF(P68="","",$B68*'AEO 2018_Table 13'!Q$16/'AEO 2018_Table 13'!$C$16)</f>
        <v>173.36581329218686</v>
      </c>
      <c r="R68" s="193">
        <f>IF(Q68="","",$B68*'AEO 2018_Table 13'!R$16/'AEO 2018_Table 13'!$C$16)</f>
        <v>174.16920827431281</v>
      </c>
      <c r="S68" s="193">
        <f>IF(R68="","",$B68*'AEO 2018_Table 13'!S$16/'AEO 2018_Table 13'!$C$16)</f>
        <v>174.6841775606795</v>
      </c>
      <c r="T68" s="193">
        <f>IF(S68="","",$B68*'AEO 2018_Table 13'!T$16/'AEO 2018_Table 13'!$C$16)</f>
        <v>175.29122987591504</v>
      </c>
      <c r="U68" s="193">
        <f>IF(T68="","",$B68*'AEO 2018_Table 13'!U$16/'AEO 2018_Table 13'!$C$16)</f>
        <v>176.65235663594081</v>
      </c>
      <c r="V68" s="193">
        <f>IF(U68="","",$B68*'AEO 2018_Table 13'!V$16/'AEO 2018_Table 13'!$C$16)</f>
        <v>177.45027512279486</v>
      </c>
      <c r="W68" s="193">
        <f>IF(V68="","",$B68*'AEO 2018_Table 13'!W$16/'AEO 2018_Table 13'!$C$16)</f>
        <v>178.81075570220699</v>
      </c>
      <c r="X68" s="193">
        <f>IF(W68="","",$B68*'AEO 2018_Table 13'!X$16/'AEO 2018_Table 13'!$C$16)</f>
        <v>180.45265939597633</v>
      </c>
      <c r="Y68" s="193">
        <f>IF(X68="","",$B68*'AEO 2018_Table 13'!Y$16/'AEO 2018_Table 13'!$C$16)</f>
        <v>181.34407700963982</v>
      </c>
      <c r="Z68" s="193">
        <f>IF(Y68="","",$B68*'AEO 2018_Table 13'!Z$16/'AEO 2018_Table 13'!$C$16)</f>
        <v>182.49174419077474</v>
      </c>
      <c r="AA68" s="193">
        <f>IF(Z68="","",$B68*'AEO 2018_Table 13'!AA$16/'AEO 2018_Table 13'!$C$16)</f>
        <v>184.02270646400666</v>
      </c>
      <c r="AB68" s="193">
        <f>IF(AA68="","",$B68*'AEO 2018_Table 13'!AB$16/'AEO 2018_Table 13'!$C$16)</f>
        <v>185.16490631555214</v>
      </c>
      <c r="AC68" s="193">
        <f>IF(AB68="","",$B68*'AEO 2018_Table 13'!AC$16/'AEO 2018_Table 13'!$C$16)</f>
        <v>186.6055911993605</v>
      </c>
      <c r="AD68" s="193">
        <f>IF(AC68="","",$B68*'AEO 2018_Table 13'!AD$16/'AEO 2018_Table 13'!$C$16)</f>
        <v>187.85776549194347</v>
      </c>
      <c r="AE68" s="193">
        <f>IF(AD68="","",$B68*'AEO 2018_Table 13'!AE$16/'AEO 2018_Table 13'!$C$16)</f>
        <v>189.06781430792449</v>
      </c>
      <c r="AF68" s="193">
        <f>IF(AE68="","",$B68*'AEO 2018_Table 13'!AF$16/'AEO 2018_Table 13'!$C$16)</f>
        <v>190.01812601425681</v>
      </c>
      <c r="AG68" s="193">
        <f>IF(AF68="","",$B68*'AEO 2018_Table 13'!AG$16/'AEO 2018_Table 13'!$C$16)</f>
        <v>191.38007310286309</v>
      </c>
      <c r="AH68" s="193">
        <f>IF(AG68="","",$B68*'AEO 2018_Table 13'!AH$16/'AEO 2018_Table 13'!$C$16)</f>
        <v>192.82404388383458</v>
      </c>
      <c r="AI68" s="193">
        <f>IF(AH68="","",$B68*'AEO 2018_Table 13'!AI$16/'AEO 2018_Table 13'!$C$16)</f>
        <v>194.31021804970896</v>
      </c>
      <c r="AJ68" s="193">
        <f>IF(AI68="","",$B68*'AEO 2018_Table 13'!AJ$16/'AEO 2018_Table 13'!$C$16)</f>
        <v>195.22838112480076</v>
      </c>
      <c r="AK68" s="193">
        <f>IF(AJ68="","",$B68*'AEO 2018_Table 13'!AK$16/'AEO 2018_Table 13'!$C$16)</f>
        <v>196.96588288666368</v>
      </c>
    </row>
    <row r="69" spans="1:37" x14ac:dyDescent="0.25">
      <c r="A69" s="206" t="s">
        <v>1229</v>
      </c>
      <c r="B69" s="195">
        <v>27.105334745076</v>
      </c>
      <c r="C69" s="195">
        <f>IF(B69="","",$B69*'AEO 2018_Table 13'!C$16/'AEO 2018_Table 13'!$C$16)</f>
        <v>27.105334745076</v>
      </c>
      <c r="D69" s="195">
        <f>IF(C69="","",$B69*'AEO 2018_Table 13'!D$16/'AEO 2018_Table 13'!$C$16)</f>
        <v>27.265417489370826</v>
      </c>
      <c r="E69" s="195">
        <f>IF(D69="","",$B69*'AEO 2018_Table 13'!E$16/'AEO 2018_Table 13'!$C$16)</f>
        <v>29.135971035008669</v>
      </c>
      <c r="F69" s="195">
        <f>IF(E69="","",$B69*'AEO 2018_Table 13'!F$16/'AEO 2018_Table 13'!$C$16)</f>
        <v>31.382087770225016</v>
      </c>
      <c r="G69" s="195">
        <f>IF(F69="","",$B69*'AEO 2018_Table 13'!G$16/'AEO 2018_Table 13'!$C$16)</f>
        <v>32.862434595886221</v>
      </c>
      <c r="H69" s="195">
        <f>IF(G69="","",$B69*'AEO 2018_Table 13'!H$16/'AEO 2018_Table 13'!$C$16)</f>
        <v>33.293306945112683</v>
      </c>
      <c r="I69" s="195">
        <f>IF(H69="","",$B69*'AEO 2018_Table 13'!I$16/'AEO 2018_Table 13'!$C$16)</f>
        <v>34.05243424179929</v>
      </c>
      <c r="J69" s="195">
        <f>IF(I69="","",$B69*'AEO 2018_Table 13'!J$16/'AEO 2018_Table 13'!$C$16)</f>
        <v>34.819779784761302</v>
      </c>
      <c r="K69" s="195">
        <f>IF(J69="","",$B69*'AEO 2018_Table 13'!K$16/'AEO 2018_Table 13'!$C$16)</f>
        <v>35.394985587275151</v>
      </c>
      <c r="L69" s="195">
        <f>IF(K69="","",$B69*'AEO 2018_Table 13'!L$16/'AEO 2018_Table 13'!$C$16)</f>
        <v>36.005204459345499</v>
      </c>
      <c r="M69" s="195">
        <f>IF(L69="","",$B69*'AEO 2018_Table 13'!M$16/'AEO 2018_Table 13'!$C$16)</f>
        <v>36.458344955801032</v>
      </c>
      <c r="N69" s="195">
        <f>IF(M69="","",$B69*'AEO 2018_Table 13'!N$16/'AEO 2018_Table 13'!$C$16)</f>
        <v>37.044528878431294</v>
      </c>
      <c r="O69" s="195">
        <f>IF(N69="","",$B69*'AEO 2018_Table 13'!O$16/'AEO 2018_Table 13'!$C$16)</f>
        <v>37.579031824086101</v>
      </c>
      <c r="P69" s="195">
        <f>IF(O69="","",$B69*'AEO 2018_Table 13'!P$16/'AEO 2018_Table 13'!$C$16)</f>
        <v>37.894689753504139</v>
      </c>
      <c r="Q69" s="195">
        <f>IF(P69="","",$B69*'AEO 2018_Table 13'!Q$16/'AEO 2018_Table 13'!$C$16)</f>
        <v>38.062040936963193</v>
      </c>
      <c r="R69" s="195">
        <f>IF(Q69="","",$B69*'AEO 2018_Table 13'!R$16/'AEO 2018_Table 13'!$C$16)</f>
        <v>38.238424343342693</v>
      </c>
      <c r="S69" s="195">
        <f>IF(R69="","",$B69*'AEO 2018_Table 13'!S$16/'AEO 2018_Table 13'!$C$16)</f>
        <v>38.351484592573804</v>
      </c>
      <c r="T69" s="195">
        <f>IF(S69="","",$B69*'AEO 2018_Table 13'!T$16/'AEO 2018_Table 13'!$C$16)</f>
        <v>38.484761445919915</v>
      </c>
      <c r="U69" s="195">
        <f>IF(T69="","",$B69*'AEO 2018_Table 13'!U$16/'AEO 2018_Table 13'!$C$16)</f>
        <v>38.783593502117654</v>
      </c>
      <c r="V69" s="195">
        <f>IF(U69="","",$B69*'AEO 2018_Table 13'!V$16/'AEO 2018_Table 13'!$C$16)</f>
        <v>38.958774557334202</v>
      </c>
      <c r="W69" s="195">
        <f>IF(V69="","",$B69*'AEO 2018_Table 13'!W$16/'AEO 2018_Table 13'!$C$16)</f>
        <v>39.257464746156224</v>
      </c>
      <c r="X69" s="195">
        <f>IF(W69="","",$B69*'AEO 2018_Table 13'!X$16/'AEO 2018_Table 13'!$C$16)</f>
        <v>39.617940692480616</v>
      </c>
      <c r="Y69" s="195">
        <f>IF(X69="","",$B69*'AEO 2018_Table 13'!Y$16/'AEO 2018_Table 13'!$C$16)</f>
        <v>39.813649252656816</v>
      </c>
      <c r="Z69" s="195">
        <f>IF(Y69="","",$B69*'AEO 2018_Table 13'!Z$16/'AEO 2018_Table 13'!$C$16)</f>
        <v>40.065616779592155</v>
      </c>
      <c r="AA69" s="195">
        <f>IF(Z69="","",$B69*'AEO 2018_Table 13'!AA$16/'AEO 2018_Table 13'!$C$16)</f>
        <v>40.401735807964201</v>
      </c>
      <c r="AB69" s="195">
        <f>IF(AA69="","",$B69*'AEO 2018_Table 13'!AB$16/'AEO 2018_Table 13'!$C$16)</f>
        <v>40.652502996039786</v>
      </c>
      <c r="AC69" s="195">
        <f>IF(AB69="","",$B69*'AEO 2018_Table 13'!AC$16/'AEO 2018_Table 13'!$C$16)</f>
        <v>40.968801844027539</v>
      </c>
      <c r="AD69" s="195">
        <f>IF(AC69="","",$B69*'AEO 2018_Table 13'!AD$16/'AEO 2018_Table 13'!$C$16)</f>
        <v>41.243713652067683</v>
      </c>
      <c r="AE69" s="195">
        <f>IF(AD69="","",$B69*'AEO 2018_Table 13'!AE$16/'AEO 2018_Table 13'!$C$16)</f>
        <v>41.509376914593211</v>
      </c>
      <c r="AF69" s="195">
        <f>IF(AE69="","",$B69*'AEO 2018_Table 13'!AF$16/'AEO 2018_Table 13'!$C$16)</f>
        <v>41.718015528991387</v>
      </c>
      <c r="AG69" s="195">
        <f>IF(AF69="","",$B69*'AEO 2018_Table 13'!AG$16/'AEO 2018_Table 13'!$C$16)</f>
        <v>42.017027686325676</v>
      </c>
      <c r="AH69" s="195">
        <f>IF(AG69="","",$B69*'AEO 2018_Table 13'!AH$16/'AEO 2018_Table 13'!$C$16)</f>
        <v>42.334047945011207</v>
      </c>
      <c r="AI69" s="195">
        <f>IF(AH69="","",$B69*'AEO 2018_Table 13'!AI$16/'AEO 2018_Table 13'!$C$16)</f>
        <v>42.660333853788565</v>
      </c>
      <c r="AJ69" s="195">
        <f>IF(AI69="","",$B69*'AEO 2018_Table 13'!AJ$16/'AEO 2018_Table 13'!$C$16)</f>
        <v>42.861914314707079</v>
      </c>
      <c r="AK69" s="195">
        <f>IF(AJ69="","",$B69*'AEO 2018_Table 13'!AK$16/'AEO 2018_Table 13'!$C$16)</f>
        <v>43.24337858342431</v>
      </c>
    </row>
    <row r="71" spans="1:37" x14ac:dyDescent="0.25">
      <c r="A71" s="55" t="s">
        <v>1317</v>
      </c>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row>
    <row r="72" spans="1:37" x14ac:dyDescent="0.25">
      <c r="A72" s="172" t="s">
        <v>1168</v>
      </c>
      <c r="B72" s="173">
        <v>2015</v>
      </c>
      <c r="C72" s="173">
        <v>2016</v>
      </c>
      <c r="D72" s="173">
        <v>2017</v>
      </c>
      <c r="E72" s="173">
        <v>2018</v>
      </c>
      <c r="F72" s="173">
        <v>2019</v>
      </c>
      <c r="G72" s="173">
        <v>2020</v>
      </c>
      <c r="H72" s="173">
        <v>2021</v>
      </c>
      <c r="I72" s="173">
        <v>2022</v>
      </c>
      <c r="J72" s="173">
        <v>2023</v>
      </c>
      <c r="K72" s="173">
        <v>2024</v>
      </c>
      <c r="L72" s="173">
        <v>2025</v>
      </c>
      <c r="M72" s="173">
        <v>2026</v>
      </c>
      <c r="N72" s="173">
        <v>2027</v>
      </c>
      <c r="O72" s="173">
        <v>2028</v>
      </c>
      <c r="P72" s="173">
        <v>2029</v>
      </c>
      <c r="Q72" s="173">
        <v>2030</v>
      </c>
      <c r="R72" s="173">
        <v>2031</v>
      </c>
      <c r="S72" s="173">
        <v>2032</v>
      </c>
      <c r="T72" s="173">
        <v>2033</v>
      </c>
      <c r="U72" s="173">
        <v>2034</v>
      </c>
      <c r="V72" s="173">
        <v>2035</v>
      </c>
      <c r="W72" s="173">
        <v>2036</v>
      </c>
      <c r="X72" s="173">
        <v>2037</v>
      </c>
      <c r="Y72" s="173">
        <v>2038</v>
      </c>
      <c r="Z72" s="173">
        <v>2039</v>
      </c>
      <c r="AA72" s="173">
        <v>2040</v>
      </c>
      <c r="AB72" s="173">
        <v>2041</v>
      </c>
      <c r="AC72" s="173">
        <v>2042</v>
      </c>
      <c r="AD72" s="173">
        <v>2043</v>
      </c>
      <c r="AE72" s="173">
        <v>2044</v>
      </c>
      <c r="AF72" s="173">
        <v>2045</v>
      </c>
      <c r="AG72" s="173">
        <v>2046</v>
      </c>
      <c r="AH72" s="173">
        <v>2047</v>
      </c>
      <c r="AI72" s="173">
        <v>2048</v>
      </c>
      <c r="AJ72" s="173">
        <v>2049</v>
      </c>
      <c r="AK72" s="173">
        <v>2050</v>
      </c>
    </row>
    <row r="73" spans="1:37" x14ac:dyDescent="0.25">
      <c r="A73" s="222" t="s">
        <v>1230</v>
      </c>
      <c r="B73" s="224"/>
      <c r="C73" s="224" t="str">
        <f>IF(B73="","",$B73*'AEO 2018_Table 13'!C$16/'AEO 2018_Table 13'!$C$16)</f>
        <v/>
      </c>
      <c r="D73" s="224" t="str">
        <f>IF(C73="","",$B73*'AEO 2018_Table 13'!E$16/'AEO 2018_Table 13'!$C$16)</f>
        <v/>
      </c>
      <c r="E73" s="224" t="str">
        <f>IF(D73="","",$B73*'AEO 2018_Table 13'!F$16/'AEO 2018_Table 13'!$C$16)</f>
        <v/>
      </c>
      <c r="F73" s="224" t="str">
        <f>IF(E73="","",$B73*'AEO 2018_Table 13'!G$16/'AEO 2018_Table 13'!$C$16)</f>
        <v/>
      </c>
      <c r="G73" s="224" t="str">
        <f>IF(F73="","",$B73*'AEO 2018_Table 13'!H$16/'AEO 2018_Table 13'!$C$16)</f>
        <v/>
      </c>
      <c r="H73" s="224" t="str">
        <f>IF(G73="","",$B73*'AEO 2018_Table 13'!I$16/'AEO 2018_Table 13'!$C$16)</f>
        <v/>
      </c>
      <c r="I73" s="224" t="str">
        <f>IF(H73="","",$B73*'AEO 2018_Table 13'!J$16/'AEO 2018_Table 13'!$C$16)</f>
        <v/>
      </c>
      <c r="J73" s="224" t="str">
        <f>IF(I73="","",$B73*'AEO 2018_Table 13'!K$16/'AEO 2018_Table 13'!$C$16)</f>
        <v/>
      </c>
      <c r="K73" s="224" t="str">
        <f>IF(J73="","",$B73*'AEO 2018_Table 13'!L$16/'AEO 2018_Table 13'!$C$16)</f>
        <v/>
      </c>
      <c r="L73" s="224" t="str">
        <f>IF(K73="","",$B73*'AEO 2018_Table 13'!M$16/'AEO 2018_Table 13'!$C$16)</f>
        <v/>
      </c>
      <c r="M73" s="224" t="str">
        <f>IF(L73="","",$B73*'AEO 2018_Table 13'!N$16/'AEO 2018_Table 13'!$C$16)</f>
        <v/>
      </c>
      <c r="N73" s="224" t="str">
        <f>IF(M73="","",$B73*'AEO 2018_Table 13'!O$16/'AEO 2018_Table 13'!$C$16)</f>
        <v/>
      </c>
      <c r="O73" s="224" t="str">
        <f>IF(N73="","",$B73*'AEO 2018_Table 13'!P$16/'AEO 2018_Table 13'!$C$16)</f>
        <v/>
      </c>
      <c r="P73" s="224" t="str">
        <f>IF(O73="","",$B73*'AEO 2018_Table 13'!Q$16/'AEO 2018_Table 13'!$C$16)</f>
        <v/>
      </c>
      <c r="Q73" s="224" t="str">
        <f>IF(P73="","",$B73*'AEO 2018_Table 13'!R$16/'AEO 2018_Table 13'!$C$16)</f>
        <v/>
      </c>
      <c r="R73" s="224" t="str">
        <f>IF(Q73="","",$B73*'AEO 2018_Table 13'!S$16/'AEO 2018_Table 13'!$C$16)</f>
        <v/>
      </c>
      <c r="S73" s="224" t="str">
        <f>IF(R73="","",$B73*'AEO 2018_Table 13'!T$16/'AEO 2018_Table 13'!$C$16)</f>
        <v/>
      </c>
      <c r="T73" s="224" t="str">
        <f>IF(S73="","",$B73*'AEO 2018_Table 13'!U$16/'AEO 2018_Table 13'!$C$16)</f>
        <v/>
      </c>
      <c r="U73" s="224" t="str">
        <f>IF(T73="","",$B73*'AEO 2018_Table 13'!V$16/'AEO 2018_Table 13'!$C$16)</f>
        <v/>
      </c>
      <c r="V73" s="224" t="str">
        <f>IF(U73="","",$B73*'AEO 2018_Table 13'!W$16/'AEO 2018_Table 13'!$C$16)</f>
        <v/>
      </c>
      <c r="W73" s="224" t="str">
        <f>IF(V73="","",$B73*'AEO 2018_Table 13'!X$16/'AEO 2018_Table 13'!$C$16)</f>
        <v/>
      </c>
      <c r="X73" s="224" t="str">
        <f>IF(W73="","",$B73*'AEO 2018_Table 13'!Y$16/'AEO 2018_Table 13'!$C$16)</f>
        <v/>
      </c>
      <c r="Y73" s="224" t="str">
        <f>IF(X73="","",$B73*'AEO 2018_Table 13'!Z$16/'AEO 2018_Table 13'!$C$16)</f>
        <v/>
      </c>
      <c r="Z73" s="224" t="str">
        <f>IF(Y73="","",$B73*'AEO 2018_Table 13'!AA$16/'AEO 2018_Table 13'!$C$16)</f>
        <v/>
      </c>
      <c r="AA73" s="224" t="str">
        <f>IF(Z73="","",$B73*'AEO 2018_Table 13'!AB$16/'AEO 2018_Table 13'!$C$16)</f>
        <v/>
      </c>
      <c r="AB73" s="224" t="str">
        <f>IF(AA73="","",$B73*'AEO 2018_Table 13'!AC$16/'AEO 2018_Table 13'!$C$16)</f>
        <v/>
      </c>
      <c r="AC73" s="224" t="str">
        <f>IF(AB73="","",$B73*'AEO 2018_Table 13'!AD$16/'AEO 2018_Table 13'!$C$16)</f>
        <v/>
      </c>
      <c r="AD73" s="224" t="str">
        <f>IF(AC73="","",$B73*'AEO 2018_Table 13'!AE$16/'AEO 2018_Table 13'!$C$16)</f>
        <v/>
      </c>
      <c r="AE73" s="224" t="str">
        <f>IF(AD73="","",$B73*'AEO 2018_Table 13'!AF$16/'AEO 2018_Table 13'!$C$16)</f>
        <v/>
      </c>
      <c r="AF73" s="224" t="str">
        <f>IF(AE73="","",$B73*'AEO 2018_Table 13'!AG$16/'AEO 2018_Table 13'!$C$16)</f>
        <v/>
      </c>
      <c r="AG73" s="224" t="str">
        <f>IF(AF73="","",$B73*'AEO 2018_Table 13'!AH$16/'AEO 2018_Table 13'!$C$16)</f>
        <v/>
      </c>
      <c r="AH73" s="224" t="str">
        <f>IF(AG73="","",$B73*'AEO 2018_Table 13'!AI$16/'AEO 2018_Table 13'!$C$16)</f>
        <v/>
      </c>
      <c r="AI73" s="224" t="str">
        <f>IF(AH73="","",$B73*'AEO 2018_Table 13'!AJ$16/'AEO 2018_Table 13'!$C$16)</f>
        <v/>
      </c>
      <c r="AJ73" s="224" t="str">
        <f>IF(AI73="","",$B73*'AEO 2018_Table 13'!AK$16/'AEO 2018_Table 13'!$C$16)</f>
        <v/>
      </c>
      <c r="AK73" s="224" t="str">
        <f>IF(AJ73="","",$B73*'AEO 2018_Table 13'!AL$16/'AEO 2018_Table 13'!$C$16)</f>
        <v/>
      </c>
    </row>
    <row r="74" spans="1:37" x14ac:dyDescent="0.25">
      <c r="A74" s="252" t="s">
        <v>1172</v>
      </c>
      <c r="B74" s="253">
        <f>SUM(B80,B89,B90,B91,B92,B94)-B75</f>
        <v>444.83720211705565</v>
      </c>
      <c r="C74" s="253">
        <f t="shared" ref="C74" si="8">SUM(C80,C89,C90,C91,C92,C94)-C75</f>
        <v>444.83720211705571</v>
      </c>
      <c r="D74" s="253">
        <f t="shared" ref="D74:AK74" si="9">SUM(D80,D89,D90,D91,D92,D94)-D75</f>
        <v>446.99711911359435</v>
      </c>
      <c r="E74" s="253">
        <f t="shared" si="9"/>
        <v>472.7028386336325</v>
      </c>
      <c r="F74" s="253">
        <f t="shared" si="9"/>
        <v>508.46857786286898</v>
      </c>
      <c r="G74" s="253">
        <f t="shared" si="9"/>
        <v>534.99840378179363</v>
      </c>
      <c r="H74" s="253">
        <f t="shared" si="9"/>
        <v>545.13296842925092</v>
      </c>
      <c r="I74" s="253">
        <f t="shared" si="9"/>
        <v>556.63317925686351</v>
      </c>
      <c r="J74" s="253">
        <f t="shared" si="9"/>
        <v>569.20242561695363</v>
      </c>
      <c r="K74" s="253">
        <f t="shared" si="9"/>
        <v>579.20321427148792</v>
      </c>
      <c r="L74" s="253">
        <f t="shared" si="9"/>
        <v>589.11557584278171</v>
      </c>
      <c r="M74" s="253">
        <f t="shared" si="9"/>
        <v>597.01075731592994</v>
      </c>
      <c r="N74" s="253">
        <f t="shared" si="9"/>
        <v>606.24252805451215</v>
      </c>
      <c r="O74" s="253">
        <f t="shared" si="9"/>
        <v>615.16533650339125</v>
      </c>
      <c r="P74" s="253">
        <f t="shared" si="9"/>
        <v>620.98452501612326</v>
      </c>
      <c r="Q74" s="253">
        <f t="shared" si="9"/>
        <v>624.16389254748208</v>
      </c>
      <c r="R74" s="253">
        <f t="shared" si="9"/>
        <v>627.03223145233119</v>
      </c>
      <c r="S74" s="253">
        <f t="shared" si="9"/>
        <v>629.07254679467803</v>
      </c>
      <c r="T74" s="253">
        <f t="shared" si="9"/>
        <v>631.20079933949967</v>
      </c>
      <c r="U74" s="253">
        <f t="shared" si="9"/>
        <v>635.62181675193017</v>
      </c>
      <c r="V74" s="253">
        <f t="shared" si="9"/>
        <v>638.85771543263365</v>
      </c>
      <c r="W74" s="253">
        <f t="shared" si="9"/>
        <v>643.39913382478471</v>
      </c>
      <c r="X74" s="253">
        <f t="shared" si="9"/>
        <v>649.13471038263583</v>
      </c>
      <c r="Y74" s="253">
        <f t="shared" si="9"/>
        <v>652.82751024679385</v>
      </c>
      <c r="Z74" s="253">
        <f t="shared" si="9"/>
        <v>656.79844115739343</v>
      </c>
      <c r="AA74" s="253">
        <f t="shared" si="9"/>
        <v>662.06900207509591</v>
      </c>
      <c r="AB74" s="253">
        <f t="shared" si="9"/>
        <v>666.43358471138129</v>
      </c>
      <c r="AC74" s="253">
        <f t="shared" si="9"/>
        <v>671.4332180784445</v>
      </c>
      <c r="AD74" s="253">
        <f t="shared" si="9"/>
        <v>676.0657185111304</v>
      </c>
      <c r="AE74" s="253">
        <f t="shared" si="9"/>
        <v>680.45262734046025</v>
      </c>
      <c r="AF74" s="253">
        <f t="shared" si="9"/>
        <v>684.04313511280839</v>
      </c>
      <c r="AG74" s="253">
        <f t="shared" si="9"/>
        <v>688.68655769501959</v>
      </c>
      <c r="AH74" s="253">
        <f t="shared" si="9"/>
        <v>693.83674803410247</v>
      </c>
      <c r="AI74" s="253">
        <f t="shared" si="9"/>
        <v>699.16451944569235</v>
      </c>
      <c r="AJ74" s="253">
        <f t="shared" si="9"/>
        <v>702.83674787500559</v>
      </c>
      <c r="AK74" s="253">
        <f t="shared" si="9"/>
        <v>708.57205365882646</v>
      </c>
    </row>
    <row r="75" spans="1:37" x14ac:dyDescent="0.25">
      <c r="A75" s="245" t="s">
        <v>1312</v>
      </c>
      <c r="B75" s="246">
        <v>0</v>
      </c>
      <c r="C75" s="246">
        <f>SUM(C76:C78)</f>
        <v>0</v>
      </c>
      <c r="D75" s="246">
        <f t="shared" ref="D75:AK75" si="10">SUM(D76:D78)</f>
        <v>0.46726915515659928</v>
      </c>
      <c r="E75" s="246">
        <f t="shared" si="10"/>
        <v>5.4600011937303545</v>
      </c>
      <c r="F75" s="246">
        <f t="shared" si="10"/>
        <v>6.5562411106264982</v>
      </c>
      <c r="G75" s="246">
        <f t="shared" si="10"/>
        <v>4.3210179436424188</v>
      </c>
      <c r="H75" s="246">
        <f t="shared" si="10"/>
        <v>1.2576830781498534</v>
      </c>
      <c r="I75" s="246">
        <f t="shared" si="10"/>
        <v>2.2158338935380884</v>
      </c>
      <c r="J75" s="246">
        <f t="shared" si="10"/>
        <v>2.2398223190919415</v>
      </c>
      <c r="K75" s="246">
        <f t="shared" si="10"/>
        <v>1.6789812703786424</v>
      </c>
      <c r="L75" s="246">
        <f t="shared" si="10"/>
        <v>1.7811817136754371</v>
      </c>
      <c r="M75" s="246">
        <f t="shared" si="10"/>
        <v>1.3226820784384925</v>
      </c>
      <c r="N75" s="246">
        <f t="shared" si="10"/>
        <v>1.7110255543181545</v>
      </c>
      <c r="O75" s="246">
        <f t="shared" si="10"/>
        <v>1.5601727778033132</v>
      </c>
      <c r="P75" s="246">
        <f t="shared" si="10"/>
        <v>0.92138109355496978</v>
      </c>
      <c r="Q75" s="246">
        <f t="shared" si="10"/>
        <v>0.48848516717924728</v>
      </c>
      <c r="R75" s="246">
        <f t="shared" si="10"/>
        <v>0.51484952763431202</v>
      </c>
      <c r="S75" s="246">
        <f t="shared" si="10"/>
        <v>0.3300141272110837</v>
      </c>
      <c r="T75" s="246">
        <f t="shared" si="10"/>
        <v>0.38902483174748037</v>
      </c>
      <c r="U75" s="246">
        <f t="shared" si="10"/>
        <v>0.87226767037463371</v>
      </c>
      <c r="V75" s="246">
        <f t="shared" si="10"/>
        <v>0.51133995753921591</v>
      </c>
      <c r="W75" s="246">
        <f t="shared" si="10"/>
        <v>0.87185357047219481</v>
      </c>
      <c r="X75" s="246">
        <f t="shared" si="10"/>
        <v>1.0522014201796794</v>
      </c>
      <c r="Y75" s="246">
        <f t="shared" si="10"/>
        <v>0.57125815760646659</v>
      </c>
      <c r="Z75" s="246">
        <f t="shared" si="10"/>
        <v>0.73547373239140612</v>
      </c>
      <c r="AA75" s="246">
        <f t="shared" si="10"/>
        <v>0.9811054596253671</v>
      </c>
      <c r="AB75" s="246">
        <f t="shared" si="10"/>
        <v>0.73197003605378574</v>
      </c>
      <c r="AC75" s="246">
        <f t="shared" si="10"/>
        <v>0.92325188531278557</v>
      </c>
      <c r="AD75" s="246">
        <f t="shared" si="10"/>
        <v>0.80244631519378695</v>
      </c>
      <c r="AE75" s="246">
        <f t="shared" si="10"/>
        <v>0.77545052580951024</v>
      </c>
      <c r="AF75" s="246">
        <f t="shared" si="10"/>
        <v>0.6089999863029032</v>
      </c>
      <c r="AG75" s="246">
        <f t="shared" si="10"/>
        <v>0.87279337166922699</v>
      </c>
      <c r="AH75" s="246">
        <f t="shared" si="10"/>
        <v>0.92535762736984661</v>
      </c>
      <c r="AI75" s="246">
        <f t="shared" si="10"/>
        <v>0.95240334369273805</v>
      </c>
      <c r="AJ75" s="246">
        <f t="shared" si="10"/>
        <v>0.58839778193705738</v>
      </c>
      <c r="AK75" s="246">
        <f t="shared" si="10"/>
        <v>1.1134647107101905</v>
      </c>
    </row>
    <row r="76" spans="1:37" x14ac:dyDescent="0.25">
      <c r="A76" s="251" t="s">
        <v>1316</v>
      </c>
      <c r="B76" s="246">
        <v>0</v>
      </c>
      <c r="C76" s="250">
        <f>MAX(0,0.799*(C82-B82))</f>
        <v>0</v>
      </c>
      <c r="D76" s="250">
        <f t="shared" ref="D76:AK76" si="11">MAX(0,0.799*(D82-C82))</f>
        <v>0.33454928269122014</v>
      </c>
      <c r="E76" s="250">
        <f t="shared" si="11"/>
        <v>3.9091805283905789</v>
      </c>
      <c r="F76" s="250">
        <f t="shared" si="11"/>
        <v>4.6940521036011829</v>
      </c>
      <c r="G76" s="250">
        <f t="shared" si="11"/>
        <v>3.0937061382898037</v>
      </c>
      <c r="H76" s="250">
        <f t="shared" si="11"/>
        <v>0.90045954671865014</v>
      </c>
      <c r="I76" s="250">
        <f t="shared" si="11"/>
        <v>1.5864638858895437</v>
      </c>
      <c r="J76" s="250">
        <f t="shared" si="11"/>
        <v>1.603638806325365</v>
      </c>
      <c r="K76" s="250">
        <f t="shared" si="11"/>
        <v>1.2020951382269691</v>
      </c>
      <c r="L76" s="250">
        <f t="shared" si="11"/>
        <v>1.2752672802747465</v>
      </c>
      <c r="M76" s="250">
        <f t="shared" si="11"/>
        <v>0.94699668421689231</v>
      </c>
      <c r="N76" s="250">
        <f t="shared" si="11"/>
        <v>1.2250377872077738</v>
      </c>
      <c r="O76" s="250">
        <f t="shared" si="11"/>
        <v>1.1170321814063247</v>
      </c>
      <c r="P76" s="250">
        <f t="shared" si="11"/>
        <v>0.65967843272420079</v>
      </c>
      <c r="Q76" s="250">
        <f t="shared" si="11"/>
        <v>0.34973924660263372</v>
      </c>
      <c r="R76" s="250">
        <f t="shared" si="11"/>
        <v>0.36861525795822858</v>
      </c>
      <c r="S76" s="250">
        <f t="shared" si="11"/>
        <v>0.23627921577540187</v>
      </c>
      <c r="T76" s="250">
        <f t="shared" si="11"/>
        <v>0.27852893128923512</v>
      </c>
      <c r="U76" s="250">
        <f t="shared" si="11"/>
        <v>0.62451484378585975</v>
      </c>
      <c r="V76" s="250">
        <f t="shared" si="11"/>
        <v>0.36610252167998147</v>
      </c>
      <c r="W76" s="250">
        <f t="shared" si="11"/>
        <v>0.62421836193210445</v>
      </c>
      <c r="X76" s="250">
        <f t="shared" si="11"/>
        <v>0.75334146601185992</v>
      </c>
      <c r="Y76" s="250">
        <f t="shared" si="11"/>
        <v>0.40900197402223398</v>
      </c>
      <c r="Z76" s="250">
        <f t="shared" si="11"/>
        <v>0.52657490205472213</v>
      </c>
      <c r="AA76" s="250">
        <f t="shared" si="11"/>
        <v>0.70243910632642781</v>
      </c>
      <c r="AB76" s="250">
        <f t="shared" si="11"/>
        <v>0.5240663711928335</v>
      </c>
      <c r="AC76" s="250">
        <f t="shared" si="11"/>
        <v>0.66101785783654776</v>
      </c>
      <c r="AD76" s="250">
        <f t="shared" si="11"/>
        <v>0.57452505945171106</v>
      </c>
      <c r="AE76" s="250">
        <f t="shared" si="11"/>
        <v>0.55519696583686706</v>
      </c>
      <c r="AF76" s="250">
        <f t="shared" si="11"/>
        <v>0.43602387687738114</v>
      </c>
      <c r="AG76" s="250">
        <f t="shared" si="11"/>
        <v>0.624891228550564</v>
      </c>
      <c r="AH76" s="250">
        <f t="shared" si="11"/>
        <v>0.66252549960349827</v>
      </c>
      <c r="AI76" s="250">
        <f t="shared" si="11"/>
        <v>0.68188933925745809</v>
      </c>
      <c r="AJ76" s="250">
        <f t="shared" si="11"/>
        <v>0.42127337897614098</v>
      </c>
      <c r="AK76" s="250">
        <f t="shared" si="11"/>
        <v>0.79720395870178939</v>
      </c>
    </row>
    <row r="77" spans="1:37" x14ac:dyDescent="0.25">
      <c r="A77" s="251" t="s">
        <v>1318</v>
      </c>
      <c r="B77" s="246">
        <v>0</v>
      </c>
      <c r="C77" s="250">
        <f>MAX(0,0.95*(C83-B83))</f>
        <v>0</v>
      </c>
      <c r="D77" s="250">
        <f t="shared" ref="D77:AK77" si="12">MAX(0,0.95*(D83-C83))</f>
        <v>0.12022243902125922</v>
      </c>
      <c r="E77" s="250">
        <f t="shared" si="12"/>
        <v>1.4047891955317715</v>
      </c>
      <c r="F77" s="250">
        <f t="shared" si="12"/>
        <v>1.6868378501611314</v>
      </c>
      <c r="G77" s="250">
        <f t="shared" si="12"/>
        <v>1.1117432223088184</v>
      </c>
      <c r="H77" s="250">
        <f t="shared" si="12"/>
        <v>0.32358593650434331</v>
      </c>
      <c r="I77" s="250">
        <f t="shared" si="12"/>
        <v>0.57010601322024279</v>
      </c>
      <c r="J77" s="250">
        <f t="shared" si="12"/>
        <v>0.57627793147451467</v>
      </c>
      <c r="K77" s="250">
        <f t="shared" si="12"/>
        <v>0.4319806286556227</v>
      </c>
      <c r="L77" s="250">
        <f t="shared" si="12"/>
        <v>0.45827550908290121</v>
      </c>
      <c r="M77" s="250">
        <f t="shared" si="12"/>
        <v>0.34030935653412264</v>
      </c>
      <c r="N77" s="250">
        <f t="shared" si="12"/>
        <v>0.4402252173030563</v>
      </c>
      <c r="O77" s="250">
        <f t="shared" si="12"/>
        <v>0.40141270737039458</v>
      </c>
      <c r="P77" s="250">
        <f t="shared" si="12"/>
        <v>0.23705969271207311</v>
      </c>
      <c r="Q77" s="250">
        <f t="shared" si="12"/>
        <v>0.1256810503666024</v>
      </c>
      <c r="R77" s="250">
        <f t="shared" si="12"/>
        <v>0.13246426659682964</v>
      </c>
      <c r="S77" s="250">
        <f t="shared" si="12"/>
        <v>8.4908457677873625E-2</v>
      </c>
      <c r="T77" s="250">
        <f t="shared" si="12"/>
        <v>0.10009116500926235</v>
      </c>
      <c r="U77" s="250">
        <f t="shared" si="12"/>
        <v>0.22442343059576986</v>
      </c>
      <c r="V77" s="250">
        <f t="shared" si="12"/>
        <v>0.13156129863480376</v>
      </c>
      <c r="W77" s="250">
        <f t="shared" si="12"/>
        <v>0.22431688793246707</v>
      </c>
      <c r="X77" s="250">
        <f t="shared" si="12"/>
        <v>0.27071810685479197</v>
      </c>
      <c r="Y77" s="250">
        <f t="shared" si="12"/>
        <v>0.14697749307938873</v>
      </c>
      <c r="Z77" s="250">
        <f t="shared" si="12"/>
        <v>0.18922808186329085</v>
      </c>
      <c r="AA77" s="250">
        <f t="shared" si="12"/>
        <v>0.25242601612277404</v>
      </c>
      <c r="AB77" s="250">
        <f t="shared" si="12"/>
        <v>0.18832662514471712</v>
      </c>
      <c r="AC77" s="250">
        <f t="shared" si="12"/>
        <v>0.23754102375124758</v>
      </c>
      <c r="AD77" s="250">
        <f t="shared" si="12"/>
        <v>0.20645927969263375</v>
      </c>
      <c r="AE77" s="250">
        <f t="shared" si="12"/>
        <v>0.19951360479142791</v>
      </c>
      <c r="AF77" s="250">
        <f t="shared" si="12"/>
        <v>0.15668798787437835</v>
      </c>
      <c r="AG77" s="250">
        <f t="shared" si="12"/>
        <v>0.22455868688464342</v>
      </c>
      <c r="AH77" s="250">
        <f t="shared" si="12"/>
        <v>0.23808280452846445</v>
      </c>
      <c r="AI77" s="250">
        <f t="shared" si="12"/>
        <v>0.24504132499901699</v>
      </c>
      <c r="AJ77" s="250">
        <f t="shared" si="12"/>
        <v>0.15138730146967419</v>
      </c>
      <c r="AK77" s="250">
        <f t="shared" si="12"/>
        <v>0.28648037604968124</v>
      </c>
    </row>
    <row r="78" spans="1:37" ht="15" customHeight="1" x14ac:dyDescent="0.25">
      <c r="A78" s="251" t="s">
        <v>1319</v>
      </c>
      <c r="B78" s="244">
        <v>0</v>
      </c>
      <c r="C78" s="250">
        <f>MAX(0,C92-B92)</f>
        <v>0</v>
      </c>
      <c r="D78" s="250">
        <f t="shared" ref="D78:AK78" si="13">MAX(0,D92-C92)</f>
        <v>1.249743344411991E-2</v>
      </c>
      <c r="E78" s="250">
        <f t="shared" si="13"/>
        <v>0.14603146980800341</v>
      </c>
      <c r="F78" s="250">
        <f t="shared" si="13"/>
        <v>0.17535115686418346</v>
      </c>
      <c r="G78" s="250">
        <f t="shared" si="13"/>
        <v>0.11556858304379736</v>
      </c>
      <c r="H78" s="250">
        <f t="shared" si="13"/>
        <v>3.3637594926859915E-2</v>
      </c>
      <c r="I78" s="250">
        <f t="shared" si="13"/>
        <v>5.9263994428301991E-2</v>
      </c>
      <c r="J78" s="250">
        <f t="shared" si="13"/>
        <v>5.9905581292061694E-2</v>
      </c>
      <c r="K78" s="250">
        <f t="shared" si="13"/>
        <v>4.4905503496050603E-2</v>
      </c>
      <c r="L78" s="250">
        <f t="shared" si="13"/>
        <v>4.7638924317789488E-2</v>
      </c>
      <c r="M78" s="250">
        <f t="shared" si="13"/>
        <v>3.5376037687477435E-2</v>
      </c>
      <c r="N78" s="250">
        <f t="shared" si="13"/>
        <v>4.5762549807324415E-2</v>
      </c>
      <c r="O78" s="250">
        <f t="shared" si="13"/>
        <v>4.1727889026593967E-2</v>
      </c>
      <c r="P78" s="250">
        <f t="shared" si="13"/>
        <v>2.4642968118695929E-2</v>
      </c>
      <c r="Q78" s="250">
        <f t="shared" si="13"/>
        <v>1.3064870210011126E-2</v>
      </c>
      <c r="R78" s="250">
        <f t="shared" si="13"/>
        <v>1.3770003079253801E-2</v>
      </c>
      <c r="S78" s="250">
        <f t="shared" si="13"/>
        <v>8.8264537578082169E-3</v>
      </c>
      <c r="T78" s="250">
        <f t="shared" si="13"/>
        <v>1.0404735448982905E-2</v>
      </c>
      <c r="U78" s="250">
        <f t="shared" si="13"/>
        <v>2.3329395993004098E-2</v>
      </c>
      <c r="V78" s="250">
        <f t="shared" si="13"/>
        <v>1.3676137224430729E-2</v>
      </c>
      <c r="W78" s="250">
        <f t="shared" si="13"/>
        <v>2.3318320607623289E-2</v>
      </c>
      <c r="X78" s="250">
        <f t="shared" si="13"/>
        <v>2.814184731302749E-2</v>
      </c>
      <c r="Y78" s="250">
        <f t="shared" si="13"/>
        <v>1.5278690504843873E-2</v>
      </c>
      <c r="Z78" s="250">
        <f t="shared" si="13"/>
        <v>1.9670748473393118E-2</v>
      </c>
      <c r="AA78" s="250">
        <f t="shared" si="13"/>
        <v>2.6240337176165252E-2</v>
      </c>
      <c r="AB78" s="250">
        <f t="shared" si="13"/>
        <v>1.9577039716235145E-2</v>
      </c>
      <c r="AC78" s="250">
        <f t="shared" si="13"/>
        <v>2.469300372499017E-2</v>
      </c>
      <c r="AD78" s="250">
        <f t="shared" si="13"/>
        <v>2.1461976049442111E-2</v>
      </c>
      <c r="AE78" s="250">
        <f t="shared" si="13"/>
        <v>2.0739955181215297E-2</v>
      </c>
      <c r="AF78" s="250">
        <f t="shared" si="13"/>
        <v>1.6288121551143675E-2</v>
      </c>
      <c r="AG78" s="250">
        <f t="shared" si="13"/>
        <v>2.3343456234019566E-2</v>
      </c>
      <c r="AH78" s="250">
        <f t="shared" si="13"/>
        <v>2.4749323237883925E-2</v>
      </c>
      <c r="AI78" s="250">
        <f t="shared" si="13"/>
        <v>2.5472679436262968E-2</v>
      </c>
      <c r="AJ78" s="250">
        <f t="shared" si="13"/>
        <v>1.5737101491242189E-2</v>
      </c>
      <c r="AK78" s="250">
        <f t="shared" si="13"/>
        <v>2.9780375958719851E-2</v>
      </c>
    </row>
    <row r="79" spans="1:37" x14ac:dyDescent="0.25">
      <c r="A79" s="219" t="s">
        <v>1231</v>
      </c>
      <c r="B79" s="221"/>
      <c r="C79" s="221" t="str">
        <f>IF(B79="","",$B79*'AEO 2018_Table 13'!C$16/'AEO 2018_Table 13'!$C$16)</f>
        <v/>
      </c>
      <c r="D79" s="221" t="str">
        <f>IF(C79="","",$B79*'AEO 2018_Table 13'!D$16/'AEO 2018_Table 13'!$C$16)</f>
        <v/>
      </c>
      <c r="E79" s="221" t="str">
        <f>IF(D79="","",$B79*'AEO 2018_Table 13'!E$16/'AEO 2018_Table 13'!$C$16)</f>
        <v/>
      </c>
      <c r="F79" s="221" t="str">
        <f>IF(E79="","",$B79*'AEO 2018_Table 13'!F$16/'AEO 2018_Table 13'!$C$16)</f>
        <v/>
      </c>
      <c r="G79" s="221" t="str">
        <f>IF(F79="","",$B79*'AEO 2018_Table 13'!G$16/'AEO 2018_Table 13'!$C$16)</f>
        <v/>
      </c>
      <c r="H79" s="221" t="str">
        <f>IF(G79="","",$B79*'AEO 2018_Table 13'!H$16/'AEO 2018_Table 13'!$C$16)</f>
        <v/>
      </c>
      <c r="I79" s="221" t="str">
        <f>IF(H79="","",$B79*'AEO 2018_Table 13'!I$16/'AEO 2018_Table 13'!$C$16)</f>
        <v/>
      </c>
      <c r="J79" s="221" t="str">
        <f>IF(I79="","",$B79*'AEO 2018_Table 13'!J$16/'AEO 2018_Table 13'!$C$16)</f>
        <v/>
      </c>
      <c r="K79" s="221" t="str">
        <f>IF(J79="","",$B79*'AEO 2018_Table 13'!K$16/'AEO 2018_Table 13'!$C$16)</f>
        <v/>
      </c>
      <c r="L79" s="221" t="str">
        <f>IF(K79="","",$B79*'AEO 2018_Table 13'!L$16/'AEO 2018_Table 13'!$C$16)</f>
        <v/>
      </c>
      <c r="M79" s="221" t="str">
        <f>IF(L79="","",$B79*'AEO 2018_Table 13'!M$16/'AEO 2018_Table 13'!$C$16)</f>
        <v/>
      </c>
      <c r="N79" s="221" t="str">
        <f>IF(M79="","",$B79*'AEO 2018_Table 13'!N$16/'AEO 2018_Table 13'!$C$16)</f>
        <v/>
      </c>
      <c r="O79" s="221" t="str">
        <f>IF(N79="","",$B79*'AEO 2018_Table 13'!O$16/'AEO 2018_Table 13'!$C$16)</f>
        <v/>
      </c>
      <c r="P79" s="221" t="str">
        <f>IF(O79="","",$B79*'AEO 2018_Table 13'!P$16/'AEO 2018_Table 13'!$C$16)</f>
        <v/>
      </c>
      <c r="Q79" s="221" t="str">
        <f>IF(P79="","",$B79*'AEO 2018_Table 13'!Q$16/'AEO 2018_Table 13'!$C$16)</f>
        <v/>
      </c>
      <c r="R79" s="221" t="str">
        <f>IF(Q79="","",$B79*'AEO 2018_Table 13'!R$16/'AEO 2018_Table 13'!$C$16)</f>
        <v/>
      </c>
      <c r="S79" s="221" t="str">
        <f>IF(R79="","",$B79*'AEO 2018_Table 13'!S$16/'AEO 2018_Table 13'!$C$16)</f>
        <v/>
      </c>
      <c r="T79" s="221" t="str">
        <f>IF(S79="","",$B79*'AEO 2018_Table 13'!T$16/'AEO 2018_Table 13'!$C$16)</f>
        <v/>
      </c>
      <c r="U79" s="221" t="str">
        <f>IF(T79="","",$B79*'AEO 2018_Table 13'!U$16/'AEO 2018_Table 13'!$C$16)</f>
        <v/>
      </c>
      <c r="V79" s="221" t="str">
        <f>IF(U79="","",$B79*'AEO 2018_Table 13'!V$16/'AEO 2018_Table 13'!$C$16)</f>
        <v/>
      </c>
      <c r="W79" s="221" t="str">
        <f>IF(V79="","",$B79*'AEO 2018_Table 13'!W$16/'AEO 2018_Table 13'!$C$16)</f>
        <v/>
      </c>
      <c r="X79" s="221" t="str">
        <f>IF(W79="","",$B79*'AEO 2018_Table 13'!X$16/'AEO 2018_Table 13'!$C$16)</f>
        <v/>
      </c>
      <c r="Y79" s="221" t="str">
        <f>IF(X79="","",$B79*'AEO 2018_Table 13'!Y$16/'AEO 2018_Table 13'!$C$16)</f>
        <v/>
      </c>
      <c r="Z79" s="221" t="str">
        <f>IF(Y79="","",$B79*'AEO 2018_Table 13'!Z$16/'AEO 2018_Table 13'!$C$16)</f>
        <v/>
      </c>
      <c r="AA79" s="221" t="str">
        <f>IF(Z79="","",$B79*'AEO 2018_Table 13'!AA$16/'AEO 2018_Table 13'!$C$16)</f>
        <v/>
      </c>
      <c r="AB79" s="221" t="str">
        <f>IF(AA79="","",$B79*'AEO 2018_Table 13'!AB$16/'AEO 2018_Table 13'!$C$16)</f>
        <v/>
      </c>
      <c r="AC79" s="221" t="str">
        <f>IF(AB79="","",$B79*'AEO 2018_Table 13'!AC$16/'AEO 2018_Table 13'!$C$16)</f>
        <v/>
      </c>
      <c r="AD79" s="221" t="str">
        <f>IF(AC79="","",$B79*'AEO 2018_Table 13'!AD$16/'AEO 2018_Table 13'!$C$16)</f>
        <v/>
      </c>
      <c r="AE79" s="221" t="str">
        <f>IF(AD79="","",$B79*'AEO 2018_Table 13'!AE$16/'AEO 2018_Table 13'!$C$16)</f>
        <v/>
      </c>
      <c r="AF79" s="221" t="str">
        <f>IF(AE79="","",$B79*'AEO 2018_Table 13'!AF$16/'AEO 2018_Table 13'!$C$16)</f>
        <v/>
      </c>
      <c r="AG79" s="221" t="str">
        <f>IF(AF79="","",$B79*'AEO 2018_Table 13'!AG$16/'AEO 2018_Table 13'!$C$16)</f>
        <v/>
      </c>
      <c r="AH79" s="221" t="str">
        <f>IF(AG79="","",$B79*'AEO 2018_Table 13'!AH$16/'AEO 2018_Table 13'!$C$16)</f>
        <v/>
      </c>
      <c r="AI79" s="221" t="str">
        <f>IF(AH79="","",$B79*'AEO 2018_Table 13'!AI$16/'AEO 2018_Table 13'!$C$16)</f>
        <v/>
      </c>
      <c r="AJ79" s="221" t="str">
        <f>IF(AI79="","",$B79*'AEO 2018_Table 13'!AJ$16/'AEO 2018_Table 13'!$C$16)</f>
        <v/>
      </c>
      <c r="AK79" s="221" t="str">
        <f>IF(AJ79="","",$B79*'AEO 2018_Table 13'!AK$16/'AEO 2018_Table 13'!$C$16)</f>
        <v/>
      </c>
    </row>
    <row r="80" spans="1:37" x14ac:dyDescent="0.25">
      <c r="A80" s="208" t="s">
        <v>1232</v>
      </c>
      <c r="B80" s="228">
        <v>156.25227176042827</v>
      </c>
      <c r="C80" s="228">
        <f>IF(B80="","",$B80*'AEO 2018_Table 13'!C$16/'AEO 2018_Table 13'!$C$16)</f>
        <v>156.25227176042827</v>
      </c>
      <c r="D80" s="228">
        <f>IF(C80="","",$B80*'AEO 2018_Table 13'!D$16/'AEO 2018_Table 13'!$C$16)</f>
        <v>157.17508982192646</v>
      </c>
      <c r="E80" s="228">
        <f>IF(D80="","",$B80*'AEO 2018_Table 13'!E$16/'AEO 2018_Table 13'!$C$16)</f>
        <v>167.95814207729595</v>
      </c>
      <c r="F80" s="228">
        <f>IF(E80="","",$B80*'AEO 2018_Table 13'!F$16/'AEO 2018_Table 13'!$C$16)</f>
        <v>180.90617779858238</v>
      </c>
      <c r="G80" s="228">
        <f>IF(F80="","",$B80*'AEO 2018_Table 13'!G$16/'AEO 2018_Table 13'!$C$16)</f>
        <v>189.43983202858306</v>
      </c>
      <c r="H80" s="228">
        <f>IF(G80="","",$B80*'AEO 2018_Table 13'!H$16/'AEO 2018_Table 13'!$C$16)</f>
        <v>191.92365242920062</v>
      </c>
      <c r="I80" s="228">
        <f>IF(H80="","",$B80*'AEO 2018_Table 13'!I$16/'AEO 2018_Table 13'!$C$16)</f>
        <v>196.29974170381038</v>
      </c>
      <c r="J80" s="228">
        <f>IF(I80="","",$B80*'AEO 2018_Table 13'!J$16/'AEO 2018_Table 13'!$C$16)</f>
        <v>200.72320614137223</v>
      </c>
      <c r="K80" s="228">
        <f>IF(J80="","",$B80*'AEO 2018_Table 13'!K$16/'AEO 2018_Table 13'!$C$16)</f>
        <v>204.03905574138122</v>
      </c>
      <c r="L80" s="228">
        <f>IF(K80="","",$B80*'AEO 2018_Table 13'!L$16/'AEO 2018_Table 13'!$C$16)</f>
        <v>207.55674279187591</v>
      </c>
      <c r="M80" s="228">
        <f>IF(L80="","",$B80*'AEO 2018_Table 13'!M$16/'AEO 2018_Table 13'!$C$16)</f>
        <v>210.16893085978708</v>
      </c>
      <c r="N80" s="228">
        <f>IF(M80="","",$B80*'AEO 2018_Table 13'!N$16/'AEO 2018_Table 13'!$C$16)</f>
        <v>213.54806527896471</v>
      </c>
      <c r="O80" s="228">
        <f>IF(N80="","",$B80*'AEO 2018_Table 13'!O$16/'AEO 2018_Table 13'!$C$16)</f>
        <v>216.62927790026893</v>
      </c>
      <c r="P80" s="228">
        <f>IF(O80="","",$B80*'AEO 2018_Table 13'!P$16/'AEO 2018_Table 13'!$C$16)</f>
        <v>218.44892960479993</v>
      </c>
      <c r="Q80" s="228">
        <f>IF(P80="","",$B80*'AEO 2018_Table 13'!Q$16/'AEO 2018_Table 13'!$C$16)</f>
        <v>219.41364754107349</v>
      </c>
      <c r="R80" s="228">
        <f>IF(Q80="","",$B80*'AEO 2018_Table 13'!R$16/'AEO 2018_Table 13'!$C$16)</f>
        <v>220.43043291586571</v>
      </c>
      <c r="S80" s="228">
        <f>IF(R80="","",$B80*'AEO 2018_Table 13'!S$16/'AEO 2018_Table 13'!$C$16)</f>
        <v>221.08218361196694</v>
      </c>
      <c r="T80" s="228">
        <f>IF(S80="","",$B80*'AEO 2018_Table 13'!T$16/'AEO 2018_Table 13'!$C$16)</f>
        <v>221.85047558490396</v>
      </c>
      <c r="U80" s="228">
        <f>IF(T80="","",$B80*'AEO 2018_Table 13'!U$16/'AEO 2018_Table 13'!$C$16)</f>
        <v>223.57313232738224</v>
      </c>
      <c r="V80" s="228">
        <f>IF(U80="","",$B80*'AEO 2018_Table 13'!V$16/'AEO 2018_Table 13'!$C$16)</f>
        <v>224.58298659055257</v>
      </c>
      <c r="W80" s="228">
        <f>IF(V80="","",$B80*'AEO 2018_Table 13'!W$16/'AEO 2018_Table 13'!$C$16)</f>
        <v>226.3048255198604</v>
      </c>
      <c r="X80" s="228">
        <f>IF(W80="","",$B80*'AEO 2018_Table 13'!X$16/'AEO 2018_Table 13'!$C$16)</f>
        <v>228.38283658513268</v>
      </c>
      <c r="Y80" s="228">
        <f>IF(X80="","",$B80*'AEO 2018_Table 13'!Y$16/'AEO 2018_Table 13'!$C$16)</f>
        <v>229.51102435400165</v>
      </c>
      <c r="Z80" s="228">
        <f>IF(Y80="","",$B80*'AEO 2018_Table 13'!Z$16/'AEO 2018_Table 13'!$C$16)</f>
        <v>230.96352434574797</v>
      </c>
      <c r="AA80" s="228">
        <f>IF(Z80="","",$B80*'AEO 2018_Table 13'!AA$16/'AEO 2018_Table 13'!$C$16)</f>
        <v>232.90112674981276</v>
      </c>
      <c r="AB80" s="228">
        <f>IF(AA80="","",$B80*'AEO 2018_Table 13'!AB$16/'AEO 2018_Table 13'!$C$16)</f>
        <v>234.346707230124</v>
      </c>
      <c r="AC80" s="228">
        <f>IF(AB80="","",$B80*'AEO 2018_Table 13'!AC$16/'AEO 2018_Table 13'!$C$16)</f>
        <v>236.17005359415558</v>
      </c>
      <c r="AD80" s="228">
        <f>IF(AC80="","",$B80*'AEO 2018_Table 13'!AD$16/'AEO 2018_Table 13'!$C$16)</f>
        <v>237.75481891596522</v>
      </c>
      <c r="AE80" s="228">
        <f>IF(AD80="","",$B80*'AEO 2018_Table 13'!AE$16/'AEO 2018_Table 13'!$C$16)</f>
        <v>239.28626977917369</v>
      </c>
      <c r="AF80" s="228">
        <f>IF(AE80="","",$B80*'AEO 2018_Table 13'!AF$16/'AEO 2018_Table 13'!$C$16)</f>
        <v>240.4889945484218</v>
      </c>
      <c r="AG80" s="228">
        <f>IF(AF80="","",$B80*'AEO 2018_Table 13'!AG$16/'AEO 2018_Table 13'!$C$16)</f>
        <v>242.21268950762004</v>
      </c>
      <c r="AH80" s="228">
        <f>IF(AG80="","",$B80*'AEO 2018_Table 13'!AH$16/'AEO 2018_Table 13'!$C$16)</f>
        <v>244.04019453862469</v>
      </c>
      <c r="AI80" s="228">
        <f>IF(AH80="","",$B80*'AEO 2018_Table 13'!AI$16/'AEO 2018_Table 13'!$C$16)</f>
        <v>245.92111262981854</v>
      </c>
      <c r="AJ80" s="228">
        <f>IF(AI80="","",$B80*'AEO 2018_Table 13'!AJ$16/'AEO 2018_Table 13'!$C$16)</f>
        <v>247.08314974381341</v>
      </c>
      <c r="AK80" s="228">
        <f>IF(AJ80="","",$B80*'AEO 2018_Table 13'!AK$16/'AEO 2018_Table 13'!$C$16)</f>
        <v>249.28215075756498</v>
      </c>
    </row>
    <row r="81" spans="1:37" x14ac:dyDescent="0.25">
      <c r="A81" s="229" t="s">
        <v>1233</v>
      </c>
      <c r="B81" s="210">
        <v>16.097480835117771</v>
      </c>
      <c r="C81" s="210">
        <f>IF(B81="","",$B81*'AEO 2018_Table 13'!C$16/'AEO 2018_Table 13'!$C$16)</f>
        <v>16.097480835117771</v>
      </c>
      <c r="D81" s="210">
        <f>IF(C81="","",$B81*'AEO 2018_Table 13'!D$16/'AEO 2018_Table 13'!$C$16)</f>
        <v>16.192551747635726</v>
      </c>
      <c r="E81" s="210">
        <f>IF(D81="","",$B81*'AEO 2018_Table 13'!E$16/'AEO 2018_Table 13'!$C$16)</f>
        <v>17.303447448986063</v>
      </c>
      <c r="F81" s="210">
        <f>IF(E81="","",$B81*'AEO 2018_Table 13'!F$16/'AEO 2018_Table 13'!$C$16)</f>
        <v>18.63738489851897</v>
      </c>
      <c r="G81" s="210">
        <f>IF(F81="","",$B81*'AEO 2018_Table 13'!G$16/'AEO 2018_Table 13'!$C$16)</f>
        <v>19.516542262909667</v>
      </c>
      <c r="H81" s="210">
        <f>IF(G81="","",$B81*'AEO 2018_Table 13'!H$16/'AEO 2018_Table 13'!$C$16)</f>
        <v>19.772431350769583</v>
      </c>
      <c r="I81" s="210">
        <f>IF(H81="","",$B81*'AEO 2018_Table 13'!I$16/'AEO 2018_Table 13'!$C$16)</f>
        <v>20.223266480634468</v>
      </c>
      <c r="J81" s="210">
        <f>IF(I81="","",$B81*'AEO 2018_Table 13'!J$16/'AEO 2018_Table 13'!$C$16)</f>
        <v>20.67898231251468</v>
      </c>
      <c r="K81" s="210">
        <f>IF(J81="","",$B81*'AEO 2018_Table 13'!K$16/'AEO 2018_Table 13'!$C$16)</f>
        <v>21.020589028288498</v>
      </c>
      <c r="L81" s="210">
        <f>IF(K81="","",$B81*'AEO 2018_Table 13'!L$16/'AEO 2018_Table 13'!$C$16)</f>
        <v>21.382989518478496</v>
      </c>
      <c r="M81" s="210">
        <f>IF(L81="","",$B81*'AEO 2018_Table 13'!M$16/'AEO 2018_Table 13'!$C$16)</f>
        <v>21.652103348870639</v>
      </c>
      <c r="N81" s="210">
        <f>IF(M81="","",$B81*'AEO 2018_Table 13'!N$16/'AEO 2018_Table 13'!$C$16)</f>
        <v>22.000229817299847</v>
      </c>
      <c r="O81" s="210">
        <f>IF(N81="","",$B81*'AEO 2018_Table 13'!O$16/'AEO 2018_Table 13'!$C$16)</f>
        <v>22.317663673214696</v>
      </c>
      <c r="P81" s="210">
        <f>IF(O81="","",$B81*'AEO 2018_Table 13'!P$16/'AEO 2018_Table 13'!$C$16)</f>
        <v>22.505128521631036</v>
      </c>
      <c r="Q81" s="210">
        <f>IF(P81="","",$B81*'AEO 2018_Table 13'!Q$16/'AEO 2018_Table 13'!$C$16)</f>
        <v>22.604516058948054</v>
      </c>
      <c r="R81" s="210">
        <f>IF(Q81="","",$B81*'AEO 2018_Table 13'!R$16/'AEO 2018_Table 13'!$C$16)</f>
        <v>22.709267707674421</v>
      </c>
      <c r="S81" s="210">
        <f>IF(R81="","",$B81*'AEO 2018_Table 13'!S$16/'AEO 2018_Table 13'!$C$16)</f>
        <v>22.776412615211189</v>
      </c>
      <c r="T81" s="210">
        <f>IF(S81="","",$B81*'AEO 2018_Table 13'!T$16/'AEO 2018_Table 13'!$C$16)</f>
        <v>22.855563882394627</v>
      </c>
      <c r="U81" s="210">
        <f>IF(T81="","",$B81*'AEO 2018_Table 13'!U$16/'AEO 2018_Table 13'!$C$16)</f>
        <v>23.033036079023216</v>
      </c>
      <c r="V81" s="210">
        <f>IF(U81="","",$B81*'AEO 2018_Table 13'!V$16/'AEO 2018_Table 13'!$C$16)</f>
        <v>23.137073668137894</v>
      </c>
      <c r="W81" s="210">
        <f>IF(V81="","",$B81*'AEO 2018_Table 13'!W$16/'AEO 2018_Table 13'!$C$16)</f>
        <v>23.314461611707703</v>
      </c>
      <c r="X81" s="210">
        <f>IF(W81="","",$B81*'AEO 2018_Table 13'!X$16/'AEO 2018_Table 13'!$C$16)</f>
        <v>23.528543256227216</v>
      </c>
      <c r="Y81" s="210">
        <f>IF(X81="","",$B81*'AEO 2018_Table 13'!Y$16/'AEO 2018_Table 13'!$C$16)</f>
        <v>23.644771844670576</v>
      </c>
      <c r="Z81" s="210">
        <f>IF(Y81="","",$B81*'AEO 2018_Table 13'!Z$16/'AEO 2018_Table 13'!$C$16)</f>
        <v>23.794411850007549</v>
      </c>
      <c r="AA81" s="210">
        <f>IF(Z81="","",$B81*'AEO 2018_Table 13'!AA$16/'AEO 2018_Table 13'!$C$16)</f>
        <v>23.994028260150589</v>
      </c>
      <c r="AB81" s="210">
        <f>IF(AA81="","",$B81*'AEO 2018_Table 13'!AB$16/'AEO 2018_Table 13'!$C$16)</f>
        <v>24.142955400954719</v>
      </c>
      <c r="AC81" s="210">
        <f>IF(AB81="","",$B81*'AEO 2018_Table 13'!AC$16/'AEO 2018_Table 13'!$C$16)</f>
        <v>24.330800881984153</v>
      </c>
      <c r="AD81" s="210">
        <f>IF(AC81="","",$B81*'AEO 2018_Table 13'!AD$16/'AEO 2018_Table 13'!$C$16)</f>
        <v>24.494067176346288</v>
      </c>
      <c r="AE81" s="210">
        <f>IF(AD81="","",$B81*'AEO 2018_Table 13'!AE$16/'AEO 2018_Table 13'!$C$16)</f>
        <v>24.651840888322912</v>
      </c>
      <c r="AF81" s="210">
        <f>IF(AE81="","",$B81*'AEO 2018_Table 13'!AF$16/'AEO 2018_Table 13'!$C$16)</f>
        <v>24.77574845590425</v>
      </c>
      <c r="AG81" s="210">
        <f>IF(AF81="","",$B81*'AEO 2018_Table 13'!AG$16/'AEO 2018_Table 13'!$C$16)</f>
        <v>24.95332761208974</v>
      </c>
      <c r="AH81" s="210">
        <f>IF(AG81="","",$B81*'AEO 2018_Table 13'!AH$16/'AEO 2018_Table 13'!$C$16)</f>
        <v>25.141601528886188</v>
      </c>
      <c r="AI81" s="210">
        <f>IF(AH81="","",$B81*'AEO 2018_Table 13'!AI$16/'AEO 2018_Table 13'!$C$16)</f>
        <v>25.335378186238362</v>
      </c>
      <c r="AJ81" s="210">
        <f>IF(AI81="","",$B81*'AEO 2018_Table 13'!AJ$16/'AEO 2018_Table 13'!$C$16)</f>
        <v>25.455094014760256</v>
      </c>
      <c r="AK81" s="210">
        <f>IF(AJ81="","",$B81*'AEO 2018_Table 13'!AK$16/'AEO 2018_Table 13'!$C$16)</f>
        <v>25.681640331664653</v>
      </c>
    </row>
    <row r="82" spans="1:37" x14ac:dyDescent="0.25">
      <c r="A82" s="229" t="s">
        <v>1235</v>
      </c>
      <c r="B82" s="210">
        <v>70.896301241969994</v>
      </c>
      <c r="C82" s="210">
        <f>IF(B82="","",$B82*'AEO 2018_Table 13'!C$16/'AEO 2018_Table 13'!$C$16)</f>
        <v>70.896301241969994</v>
      </c>
      <c r="D82" s="210">
        <f>IF(C82="","",$B82*'AEO 2018_Table 13'!D$16/'AEO 2018_Table 13'!$C$16)</f>
        <v>71.315011232822584</v>
      </c>
      <c r="E82" s="210">
        <f>IF(D82="","",$B82*'AEO 2018_Table 13'!E$16/'AEO 2018_Table 13'!$C$16)</f>
        <v>76.20760263256048</v>
      </c>
      <c r="F82" s="210">
        <f>IF(E82="","",$B82*'AEO 2018_Table 13'!F$16/'AEO 2018_Table 13'!$C$16)</f>
        <v>82.082511398018781</v>
      </c>
      <c r="G82" s="210">
        <f>IF(F82="","",$B82*'AEO 2018_Table 13'!G$16/'AEO 2018_Table 13'!$C$16)</f>
        <v>85.954484036679361</v>
      </c>
      <c r="H82" s="210">
        <f>IF(G82="","",$B82*'AEO 2018_Table 13'!H$16/'AEO 2018_Table 13'!$C$16)</f>
        <v>87.081467199030612</v>
      </c>
      <c r="I82" s="210">
        <f>IF(H82="","",$B82*'AEO 2018_Table 13'!I$16/'AEO 2018_Table 13'!$C$16)</f>
        <v>89.067029008654572</v>
      </c>
      <c r="J82" s="210">
        <f>IF(I82="","",$B82*'AEO 2018_Table 13'!J$16/'AEO 2018_Table 13'!$C$16)</f>
        <v>91.074086338223239</v>
      </c>
      <c r="K82" s="210">
        <f>IF(J82="","",$B82*'AEO 2018_Table 13'!K$16/'AEO 2018_Table 13'!$C$16)</f>
        <v>92.578585885440972</v>
      </c>
      <c r="L82" s="210">
        <f>IF(K82="","",$B82*'AEO 2018_Table 13'!L$16/'AEO 2018_Table 13'!$C$16)</f>
        <v>94.174665084783584</v>
      </c>
      <c r="M82" s="210">
        <f>IF(L82="","",$B82*'AEO 2018_Table 13'!M$16/'AEO 2018_Table 13'!$C$16)</f>
        <v>95.359892474291584</v>
      </c>
      <c r="N82" s="210">
        <f>IF(M82="","",$B82*'AEO 2018_Table 13'!N$16/'AEO 2018_Table 13'!$C$16)</f>
        <v>96.8931062254903</v>
      </c>
      <c r="O82" s="210">
        <f>IF(N82="","",$B82*'AEO 2018_Table 13'!O$16/'AEO 2018_Table 13'!$C$16)</f>
        <v>98.291143999465675</v>
      </c>
      <c r="P82" s="210">
        <f>IF(O82="","",$B82*'AEO 2018_Table 13'!P$16/'AEO 2018_Table 13'!$C$16)</f>
        <v>99.116774077969055</v>
      </c>
      <c r="Q82" s="210">
        <f>IF(P82="","",$B82*'AEO 2018_Table 13'!Q$16/'AEO 2018_Table 13'!$C$16)</f>
        <v>99.554495287734554</v>
      </c>
      <c r="R82" s="210">
        <f>IF(Q82="","",$B82*'AEO 2018_Table 13'!R$16/'AEO 2018_Table 13'!$C$16)</f>
        <v>100.01584104237564</v>
      </c>
      <c r="S82" s="210">
        <f>IF(R82="","",$B82*'AEO 2018_Table 13'!S$16/'AEO 2018_Table 13'!$C$16)</f>
        <v>100.31155971042996</v>
      </c>
      <c r="T82" s="210">
        <f>IF(S82="","",$B82*'AEO 2018_Table 13'!T$16/'AEO 2018_Table 13'!$C$16)</f>
        <v>100.66015662067932</v>
      </c>
      <c r="U82" s="210">
        <f>IF(T82="","",$B82*'AEO 2018_Table 13'!U$16/'AEO 2018_Table 13'!$C$16)</f>
        <v>101.44177720113721</v>
      </c>
      <c r="V82" s="210">
        <f>IF(U82="","",$B82*'AEO 2018_Table 13'!V$16/'AEO 2018_Table 13'!$C$16)</f>
        <v>101.89997810436623</v>
      </c>
      <c r="W82" s="210">
        <f>IF(V82="","",$B82*'AEO 2018_Table 13'!W$16/'AEO 2018_Table 13'!$C$16)</f>
        <v>102.68122761867424</v>
      </c>
      <c r="X82" s="210">
        <f>IF(W82="","",$B82*'AEO 2018_Table 13'!X$16/'AEO 2018_Table 13'!$C$16)</f>
        <v>103.62408302044128</v>
      </c>
      <c r="Y82" s="210">
        <f>IF(X82="","",$B82*'AEO 2018_Table 13'!Y$16/'AEO 2018_Table 13'!$C$16)</f>
        <v>104.13597535338525</v>
      </c>
      <c r="Z82" s="210">
        <f>IF(Y82="","",$B82*'AEO 2018_Table 13'!Z$16/'AEO 2018_Table 13'!$C$16)</f>
        <v>104.79501778399191</v>
      </c>
      <c r="AA82" s="210">
        <f>IF(Z82="","",$B82*'AEO 2018_Table 13'!AA$16/'AEO 2018_Table 13'!$C$16)</f>
        <v>105.67416560167204</v>
      </c>
      <c r="AB82" s="210">
        <f>IF(AA82="","",$B82*'AEO 2018_Table 13'!AB$16/'AEO 2018_Table 13'!$C$16)</f>
        <v>106.33006844421627</v>
      </c>
      <c r="AC82" s="210">
        <f>IF(AB82="","",$B82*'AEO 2018_Table 13'!AC$16/'AEO 2018_Table 13'!$C$16)</f>
        <v>107.15737489958116</v>
      </c>
      <c r="AD82" s="210">
        <f>IF(AC82="","",$B82*'AEO 2018_Table 13'!AD$16/'AEO 2018_Table 13'!$C$16)</f>
        <v>107.87643004282485</v>
      </c>
      <c r="AE82" s="210">
        <f>IF(AD82="","",$B82*'AEO 2018_Table 13'!AE$16/'AEO 2018_Table 13'!$C$16)</f>
        <v>108.57129483110629</v>
      </c>
      <c r="AF82" s="210">
        <f>IF(AE82="","",$B82*'AEO 2018_Table 13'!AF$16/'AEO 2018_Table 13'!$C$16)</f>
        <v>109.11700681718561</v>
      </c>
      <c r="AG82" s="210">
        <f>IF(AF82="","",$B82*'AEO 2018_Table 13'!AG$16/'AEO 2018_Table 13'!$C$16)</f>
        <v>109.89909846743663</v>
      </c>
      <c r="AH82" s="210">
        <f>IF(AG82="","",$B82*'AEO 2018_Table 13'!AH$16/'AEO 2018_Table 13'!$C$16)</f>
        <v>110.72829183364877</v>
      </c>
      <c r="AI82" s="210">
        <f>IF(AH82="","",$B82*'AEO 2018_Table 13'!AI$16/'AEO 2018_Table 13'!$C$16)</f>
        <v>111.58172029329515</v>
      </c>
      <c r="AJ82" s="210">
        <f>IF(AI82="","",$B82*'AEO 2018_Table 13'!AJ$16/'AEO 2018_Table 13'!$C$16)</f>
        <v>112.10897108049933</v>
      </c>
      <c r="AK82" s="210">
        <f>IF(AJ82="","",$B82*'AEO 2018_Table 13'!AK$16/'AEO 2018_Table 13'!$C$16)</f>
        <v>113.10672321904975</v>
      </c>
    </row>
    <row r="83" spans="1:37" x14ac:dyDescent="0.25">
      <c r="A83" s="229" t="s">
        <v>1236</v>
      </c>
      <c r="B83" s="210">
        <v>21.427533537473256</v>
      </c>
      <c r="C83" s="210">
        <f>IF(B83="","",$B83*'AEO 2018_Table 13'!C$16/'AEO 2018_Table 13'!$C$16)</f>
        <v>21.427533537473256</v>
      </c>
      <c r="D83" s="210">
        <f>IF(C83="","",$B83*'AEO 2018_Table 13'!D$16/'AEO 2018_Table 13'!$C$16)</f>
        <v>21.554083473285107</v>
      </c>
      <c r="E83" s="210">
        <f>IF(D83="","",$B83*'AEO 2018_Table 13'!E$16/'AEO 2018_Table 13'!$C$16)</f>
        <v>23.03280894226592</v>
      </c>
      <c r="F83" s="210">
        <f>IF(E83="","",$B83*'AEO 2018_Table 13'!F$16/'AEO 2018_Table 13'!$C$16)</f>
        <v>24.808427731909216</v>
      </c>
      <c r="G83" s="210">
        <f>IF(F83="","",$B83*'AEO 2018_Table 13'!G$16/'AEO 2018_Table 13'!$C$16)</f>
        <v>25.978683755392183</v>
      </c>
      <c r="H83" s="210">
        <f>IF(G83="","",$B83*'AEO 2018_Table 13'!H$16/'AEO 2018_Table 13'!$C$16)</f>
        <v>26.319300530659913</v>
      </c>
      <c r="I83" s="210">
        <f>IF(H83="","",$B83*'AEO 2018_Table 13'!I$16/'AEO 2018_Table 13'!$C$16)</f>
        <v>26.919412123523326</v>
      </c>
      <c r="J83" s="210">
        <f>IF(I83="","",$B83*'AEO 2018_Table 13'!J$16/'AEO 2018_Table 13'!$C$16)</f>
        <v>27.526020472443868</v>
      </c>
      <c r="K83" s="210">
        <f>IF(J83="","",$B83*'AEO 2018_Table 13'!K$16/'AEO 2018_Table 13'!$C$16)</f>
        <v>27.980736923660313</v>
      </c>
      <c r="L83" s="210">
        <f>IF(K83="","",$B83*'AEO 2018_Table 13'!L$16/'AEO 2018_Table 13'!$C$16)</f>
        <v>28.463132196379156</v>
      </c>
      <c r="M83" s="210">
        <f>IF(L83="","",$B83*'AEO 2018_Table 13'!M$16/'AEO 2018_Table 13'!$C$16)</f>
        <v>28.821352571678233</v>
      </c>
      <c r="N83" s="210">
        <f>IF(M83="","",$B83*'AEO 2018_Table 13'!N$16/'AEO 2018_Table 13'!$C$16)</f>
        <v>29.284747537260397</v>
      </c>
      <c r="O83" s="210">
        <f>IF(N83="","",$B83*'AEO 2018_Table 13'!O$16/'AEO 2018_Table 13'!$C$16)</f>
        <v>29.707287229229234</v>
      </c>
      <c r="P83" s="210">
        <f>IF(O83="","",$B83*'AEO 2018_Table 13'!P$16/'AEO 2018_Table 13'!$C$16)</f>
        <v>29.956823747873521</v>
      </c>
      <c r="Q83" s="210">
        <f>IF(P83="","",$B83*'AEO 2018_Table 13'!Q$16/'AEO 2018_Table 13'!$C$16)</f>
        <v>30.089119590364682</v>
      </c>
      <c r="R83" s="210">
        <f>IF(Q83="","",$B83*'AEO 2018_Table 13'!R$16/'AEO 2018_Table 13'!$C$16)</f>
        <v>30.228555660466608</v>
      </c>
      <c r="S83" s="210">
        <f>IF(R83="","",$B83*'AEO 2018_Table 13'!S$16/'AEO 2018_Table 13'!$C$16)</f>
        <v>30.317932984338054</v>
      </c>
      <c r="T83" s="210">
        <f>IF(S83="","",$B83*'AEO 2018_Table 13'!T$16/'AEO 2018_Table 13'!$C$16)</f>
        <v>30.423292105400435</v>
      </c>
      <c r="U83" s="210">
        <f>IF(T83="","",$B83*'AEO 2018_Table 13'!U$16/'AEO 2018_Table 13'!$C$16)</f>
        <v>30.659527295501245</v>
      </c>
      <c r="V83" s="210">
        <f>IF(U83="","",$B83*'AEO 2018_Table 13'!V$16/'AEO 2018_Table 13'!$C$16)</f>
        <v>30.798012873011565</v>
      </c>
      <c r="W83" s="210">
        <f>IF(V83="","",$B83*'AEO 2018_Table 13'!W$16/'AEO 2018_Table 13'!$C$16)</f>
        <v>31.034135912940478</v>
      </c>
      <c r="X83" s="210">
        <f>IF(W83="","",$B83*'AEO 2018_Table 13'!X$16/'AEO 2018_Table 13'!$C$16)</f>
        <v>31.31910234120868</v>
      </c>
      <c r="Y83" s="210">
        <f>IF(X83="","",$B83*'AEO 2018_Table 13'!Y$16/'AEO 2018_Table 13'!$C$16)</f>
        <v>31.473815491818563</v>
      </c>
      <c r="Z83" s="210">
        <f>IF(Y83="","",$B83*'AEO 2018_Table 13'!Z$16/'AEO 2018_Table 13'!$C$16)</f>
        <v>31.673002946411501</v>
      </c>
      <c r="AA83" s="210">
        <f>IF(Z83="","",$B83*'AEO 2018_Table 13'!AA$16/'AEO 2018_Table 13'!$C$16)</f>
        <v>31.93871454233021</v>
      </c>
      <c r="AB83" s="210">
        <f>IF(AA83="","",$B83*'AEO 2018_Table 13'!AB$16/'AEO 2018_Table 13'!$C$16)</f>
        <v>32.136953095114123</v>
      </c>
      <c r="AC83" s="210">
        <f>IF(AB83="","",$B83*'AEO 2018_Table 13'!AC$16/'AEO 2018_Table 13'!$C$16)</f>
        <v>32.386996278010173</v>
      </c>
      <c r="AD83" s="210">
        <f>IF(AC83="","",$B83*'AEO 2018_Table 13'!AD$16/'AEO 2018_Table 13'!$C$16)</f>
        <v>32.604321835581366</v>
      </c>
      <c r="AE83" s="210">
        <f>IF(AD83="","",$B83*'AEO 2018_Table 13'!AE$16/'AEO 2018_Table 13'!$C$16)</f>
        <v>32.814336156414448</v>
      </c>
      <c r="AF83" s="210">
        <f>IF(AE83="","",$B83*'AEO 2018_Table 13'!AF$16/'AEO 2018_Table 13'!$C$16)</f>
        <v>32.979270880492741</v>
      </c>
      <c r="AG83" s="210">
        <f>IF(AF83="","",$B83*'AEO 2018_Table 13'!AG$16/'AEO 2018_Table 13'!$C$16)</f>
        <v>33.215648445634471</v>
      </c>
      <c r="AH83" s="210">
        <f>IF(AG83="","",$B83*'AEO 2018_Table 13'!AH$16/'AEO 2018_Table 13'!$C$16)</f>
        <v>33.466261924085487</v>
      </c>
      <c r="AI83" s="210">
        <f>IF(AH83="","",$B83*'AEO 2018_Table 13'!AI$16/'AEO 2018_Table 13'!$C$16)</f>
        <v>33.724200160926557</v>
      </c>
      <c r="AJ83" s="210">
        <f>IF(AI83="","",$B83*'AEO 2018_Table 13'!AJ$16/'AEO 2018_Table 13'!$C$16)</f>
        <v>33.883555215105162</v>
      </c>
      <c r="AK83" s="210">
        <f>IF(AJ83="","",$B83*'AEO 2018_Table 13'!AK$16/'AEO 2018_Table 13'!$C$16)</f>
        <v>34.185113505683773</v>
      </c>
    </row>
    <row r="84" spans="1:37" x14ac:dyDescent="0.25">
      <c r="A84" s="229" t="s">
        <v>1237</v>
      </c>
      <c r="B84" s="210">
        <v>9.1650189916916496</v>
      </c>
      <c r="C84" s="210">
        <f>IF(B84="","",$B84*'AEO 2018_Table 13'!C$16/'AEO 2018_Table 13'!$C$16)</f>
        <v>9.1650189916916496</v>
      </c>
      <c r="D84" s="210">
        <f>IF(C84="","",$B84*'AEO 2018_Table 13'!D$16/'AEO 2018_Table 13'!$C$16)</f>
        <v>9.2191471330890078</v>
      </c>
      <c r="E84" s="210">
        <f>IF(D84="","",$B84*'AEO 2018_Table 13'!E$16/'AEO 2018_Table 13'!$C$16)</f>
        <v>9.8516299609892002</v>
      </c>
      <c r="F84" s="210">
        <f>IF(E84="","",$B84*'AEO 2018_Table 13'!F$16/'AEO 2018_Table 13'!$C$16)</f>
        <v>10.611100475905232</v>
      </c>
      <c r="G84" s="210">
        <f>IF(F84="","",$B84*'AEO 2018_Table 13'!G$16/'AEO 2018_Table 13'!$C$16)</f>
        <v>11.111644258119174</v>
      </c>
      <c r="H84" s="210">
        <f>IF(G84="","",$B84*'AEO 2018_Table 13'!H$16/'AEO 2018_Table 13'!$C$16)</f>
        <v>11.257333411224828</v>
      </c>
      <c r="I84" s="210">
        <f>IF(H84="","",$B84*'AEO 2018_Table 13'!I$16/'AEO 2018_Table 13'!$C$16)</f>
        <v>11.514014103667048</v>
      </c>
      <c r="J84" s="210">
        <f>IF(I84="","",$B84*'AEO 2018_Table 13'!J$16/'AEO 2018_Table 13'!$C$16)</f>
        <v>11.77347359902393</v>
      </c>
      <c r="K84" s="210">
        <f>IF(J84="","",$B84*'AEO 2018_Table 13'!K$16/'AEO 2018_Table 13'!$C$16)</f>
        <v>11.967965648421266</v>
      </c>
      <c r="L84" s="210">
        <f>IF(K84="","",$B84*'AEO 2018_Table 13'!L$16/'AEO 2018_Table 13'!$C$16)</f>
        <v>12.174296527719092</v>
      </c>
      <c r="M84" s="210">
        <f>IF(L84="","",$B84*'AEO 2018_Table 13'!M$16/'AEO 2018_Table 13'!$C$16)</f>
        <v>12.327515120847663</v>
      </c>
      <c r="N84" s="210">
        <f>IF(M84="","",$B84*'AEO 2018_Table 13'!N$16/'AEO 2018_Table 13'!$C$16)</f>
        <v>12.525719158320641</v>
      </c>
      <c r="O84" s="210">
        <f>IF(N84="","",$B84*'AEO 2018_Table 13'!O$16/'AEO 2018_Table 13'!$C$16)</f>
        <v>12.706448512675186</v>
      </c>
      <c r="P84" s="210">
        <f>IF(O84="","",$B84*'AEO 2018_Table 13'!P$16/'AEO 2018_Table 13'!$C$16)</f>
        <v>12.813180672421707</v>
      </c>
      <c r="Q84" s="210">
        <f>IF(P84="","",$B84*'AEO 2018_Table 13'!Q$16/'AEO 2018_Table 13'!$C$16)</f>
        <v>12.869766462234281</v>
      </c>
      <c r="R84" s="210">
        <f>IF(Q84="","",$B84*'AEO 2018_Table 13'!R$16/'AEO 2018_Table 13'!$C$16)</f>
        <v>12.929406281645885</v>
      </c>
      <c r="S84" s="210">
        <f>IF(R84="","",$B84*'AEO 2018_Table 13'!S$16/'AEO 2018_Table 13'!$C$16)</f>
        <v>12.967634893878639</v>
      </c>
      <c r="T84" s="210">
        <f>IF(S84="","",$B84*'AEO 2018_Table 13'!T$16/'AEO 2018_Table 13'!$C$16)</f>
        <v>13.012699266023755</v>
      </c>
      <c r="U84" s="210">
        <f>IF(T84="","",$B84*'AEO 2018_Table 13'!U$16/'AEO 2018_Table 13'!$C$16)</f>
        <v>13.113742160204431</v>
      </c>
      <c r="V84" s="210">
        <f>IF(U84="","",$B84*'AEO 2018_Table 13'!V$16/'AEO 2018_Table 13'!$C$16)</f>
        <v>13.172975433401172</v>
      </c>
      <c r="W84" s="210">
        <f>IF(V84="","",$B84*'AEO 2018_Table 13'!W$16/'AEO 2018_Table 13'!$C$16)</f>
        <v>13.273970358530555</v>
      </c>
      <c r="X84" s="210">
        <f>IF(W84="","",$B84*'AEO 2018_Table 13'!X$16/'AEO 2018_Table 13'!$C$16)</f>
        <v>13.395856656013423</v>
      </c>
      <c r="Y84" s="210">
        <f>IF(X84="","",$B84*'AEO 2018_Table 13'!Y$16/'AEO 2018_Table 13'!$C$16)</f>
        <v>13.462030812788129</v>
      </c>
      <c r="Z84" s="210">
        <f>IF(Y84="","",$B84*'AEO 2018_Table 13'!Z$16/'AEO 2018_Table 13'!$C$16)</f>
        <v>13.547227590152094</v>
      </c>
      <c r="AA84" s="210">
        <f>IF(Z84="","",$B84*'AEO 2018_Table 13'!AA$16/'AEO 2018_Table 13'!$C$16)</f>
        <v>13.660878179878102</v>
      </c>
      <c r="AB84" s="210">
        <f>IF(AA84="","",$B84*'AEO 2018_Table 13'!AB$16/'AEO 2018_Table 13'!$C$16)</f>
        <v>13.745669091439279</v>
      </c>
      <c r="AC84" s="210">
        <f>IF(AB84="","",$B84*'AEO 2018_Table 13'!AC$16/'AEO 2018_Table 13'!$C$16)</f>
        <v>13.852617962431715</v>
      </c>
      <c r="AD84" s="210">
        <f>IF(AC84="","",$B84*'AEO 2018_Table 13'!AD$16/'AEO 2018_Table 13'!$C$16)</f>
        <v>13.945572798275826</v>
      </c>
      <c r="AE84" s="210">
        <f>IF(AD84="","",$B84*'AEO 2018_Table 13'!AE$16/'AEO 2018_Table 13'!$C$16)</f>
        <v>14.035400460222837</v>
      </c>
      <c r="AF84" s="210">
        <f>IF(AE84="","",$B84*'AEO 2018_Table 13'!AF$16/'AEO 2018_Table 13'!$C$16)</f>
        <v>14.105946604786018</v>
      </c>
      <c r="AG84" s="210">
        <f>IF(AF84="","",$B84*'AEO 2018_Table 13'!AG$16/'AEO 2018_Table 13'!$C$16)</f>
        <v>14.207050395847414</v>
      </c>
      <c r="AH84" s="210">
        <f>IF(AG84="","",$B84*'AEO 2018_Table 13'!AH$16/'AEO 2018_Table 13'!$C$16)</f>
        <v>14.314243194568769</v>
      </c>
      <c r="AI84" s="210">
        <f>IF(AH84="","",$B84*'AEO 2018_Table 13'!AI$16/'AEO 2018_Table 13'!$C$16)</f>
        <v>14.424568950689864</v>
      </c>
      <c r="AJ84" s="210">
        <f>IF(AI84="","",$B84*'AEO 2018_Table 13'!AJ$16/'AEO 2018_Table 13'!$C$16)</f>
        <v>14.492728549899676</v>
      </c>
      <c r="AK84" s="210">
        <f>IF(AJ84="","",$B84*'AEO 2018_Table 13'!AK$16/'AEO 2018_Table 13'!$C$16)</f>
        <v>14.621711545325706</v>
      </c>
    </row>
    <row r="85" spans="1:37" x14ac:dyDescent="0.25">
      <c r="A85" s="229" t="s">
        <v>1180</v>
      </c>
      <c r="B85" s="210">
        <v>16.898874907922913</v>
      </c>
      <c r="C85" s="210">
        <f>IF(B85="","",$B85*'AEO 2018_Table 13'!C$16/'AEO 2018_Table 13'!$C$16)</f>
        <v>16.898874907922913</v>
      </c>
      <c r="D85" s="210">
        <f>IF(C85="","",$B85*'AEO 2018_Table 13'!D$16/'AEO 2018_Table 13'!$C$16)</f>
        <v>16.998678813545098</v>
      </c>
      <c r="E85" s="210">
        <f>IF(D85="","",$B85*'AEO 2018_Table 13'!E$16/'AEO 2018_Table 13'!$C$16)</f>
        <v>18.164879145457544</v>
      </c>
      <c r="F85" s="210">
        <f>IF(E85="","",$B85*'AEO 2018_Table 13'!F$16/'AEO 2018_Table 13'!$C$16)</f>
        <v>19.565225095581205</v>
      </c>
      <c r="G85" s="210">
        <f>IF(F85="","",$B85*'AEO 2018_Table 13'!G$16/'AEO 2018_Table 13'!$C$16)</f>
        <v>20.488150271103482</v>
      </c>
      <c r="H85" s="210">
        <f>IF(G85="","",$B85*'AEO 2018_Table 13'!H$16/'AEO 2018_Table 13'!$C$16)</f>
        <v>20.756778495006294</v>
      </c>
      <c r="I85" s="210">
        <f>IF(H85="","",$B85*'AEO 2018_Table 13'!I$16/'AEO 2018_Table 13'!$C$16)</f>
        <v>21.230057919390717</v>
      </c>
      <c r="J85" s="210">
        <f>IF(I85="","",$B85*'AEO 2018_Table 13'!J$16/'AEO 2018_Table 13'!$C$16)</f>
        <v>21.708461025776359</v>
      </c>
      <c r="K85" s="210">
        <f>IF(J85="","",$B85*'AEO 2018_Table 13'!K$16/'AEO 2018_Table 13'!$C$16)</f>
        <v>22.067074228469199</v>
      </c>
      <c r="L85" s="210">
        <f>IF(K85="","",$B85*'AEO 2018_Table 13'!L$16/'AEO 2018_Table 13'!$C$16)</f>
        <v>22.44751639908079</v>
      </c>
      <c r="M85" s="210">
        <f>IF(L85="","",$B85*'AEO 2018_Table 13'!M$16/'AEO 2018_Table 13'!$C$16)</f>
        <v>22.730027743704831</v>
      </c>
      <c r="N85" s="210">
        <f>IF(M85="","",$B85*'AEO 2018_Table 13'!N$16/'AEO 2018_Table 13'!$C$16)</f>
        <v>23.095485277239401</v>
      </c>
      <c r="O85" s="210">
        <f>IF(N85="","",$B85*'AEO 2018_Table 13'!O$16/'AEO 2018_Table 13'!$C$16)</f>
        <v>23.428722202792507</v>
      </c>
      <c r="P85" s="210">
        <f>IF(O85="","",$B85*'AEO 2018_Table 13'!P$16/'AEO 2018_Table 13'!$C$16)</f>
        <v>23.625519767297714</v>
      </c>
      <c r="Q85" s="210">
        <f>IF(P85="","",$B85*'AEO 2018_Table 13'!Q$16/'AEO 2018_Table 13'!$C$16)</f>
        <v>23.729855195786794</v>
      </c>
      <c r="R85" s="210">
        <f>IF(Q85="","",$B85*'AEO 2018_Table 13'!R$16/'AEO 2018_Table 13'!$C$16)</f>
        <v>23.83982178163691</v>
      </c>
      <c r="S85" s="210">
        <f>IF(R85="","",$B85*'AEO 2018_Table 13'!S$16/'AEO 2018_Table 13'!$C$16)</f>
        <v>23.910309419099573</v>
      </c>
      <c r="T85" s="210">
        <f>IF(S85="","",$B85*'AEO 2018_Table 13'!T$16/'AEO 2018_Table 13'!$C$16)</f>
        <v>23.99340113864481</v>
      </c>
      <c r="U85" s="210">
        <f>IF(T85="","",$B85*'AEO 2018_Table 13'!U$16/'AEO 2018_Table 13'!$C$16)</f>
        <v>24.179708578993996</v>
      </c>
      <c r="V85" s="210">
        <f>IF(U85="","",$B85*'AEO 2018_Table 13'!V$16/'AEO 2018_Table 13'!$C$16)</f>
        <v>24.288925556617933</v>
      </c>
      <c r="W85" s="210">
        <f>IF(V85="","",$B85*'AEO 2018_Table 13'!W$16/'AEO 2018_Table 13'!$C$16)</f>
        <v>24.475144549469299</v>
      </c>
      <c r="X85" s="210">
        <f>IF(W85="","",$B85*'AEO 2018_Table 13'!X$16/'AEO 2018_Table 13'!$C$16)</f>
        <v>24.69988399583816</v>
      </c>
      <c r="Y85" s="210">
        <f>IF(X85="","",$B85*'AEO 2018_Table 13'!Y$16/'AEO 2018_Table 13'!$C$16)</f>
        <v>24.821898887295209</v>
      </c>
      <c r="Z85" s="210">
        <f>IF(Y85="","",$B85*'AEO 2018_Table 13'!Z$16/'AEO 2018_Table 13'!$C$16)</f>
        <v>24.978988543578186</v>
      </c>
      <c r="AA85" s="210">
        <f>IF(Z85="","",$B85*'AEO 2018_Table 13'!AA$16/'AEO 2018_Table 13'!$C$16)</f>
        <v>25.188542620960082</v>
      </c>
      <c r="AB85" s="210">
        <f>IF(AA85="","",$B85*'AEO 2018_Table 13'!AB$16/'AEO 2018_Table 13'!$C$16)</f>
        <v>25.344883923591315</v>
      </c>
      <c r="AC85" s="210">
        <f>IF(AB85="","",$B85*'AEO 2018_Table 13'!AC$16/'AEO 2018_Table 13'!$C$16)</f>
        <v>25.542081070054749</v>
      </c>
      <c r="AD85" s="210">
        <f>IF(AC85="","",$B85*'AEO 2018_Table 13'!AD$16/'AEO 2018_Table 13'!$C$16)</f>
        <v>25.713475384069824</v>
      </c>
      <c r="AE85" s="210">
        <f>IF(AD85="","",$B85*'AEO 2018_Table 13'!AE$16/'AEO 2018_Table 13'!$C$16)</f>
        <v>25.879103673971876</v>
      </c>
      <c r="AF85" s="210">
        <f>IF(AE85="","",$B85*'AEO 2018_Table 13'!AF$16/'AEO 2018_Table 13'!$C$16)</f>
        <v>26.009179833474676</v>
      </c>
      <c r="AG85" s="210">
        <f>IF(AF85="","",$B85*'AEO 2018_Table 13'!AG$16/'AEO 2018_Table 13'!$C$16)</f>
        <v>26.195599558235983</v>
      </c>
      <c r="AH85" s="210">
        <f>IF(AG85="","",$B85*'AEO 2018_Table 13'!AH$16/'AEO 2018_Table 13'!$C$16)</f>
        <v>26.393246469635123</v>
      </c>
      <c r="AI85" s="210">
        <f>IF(AH85="","",$B85*'AEO 2018_Table 13'!AI$16/'AEO 2018_Table 13'!$C$16)</f>
        <v>26.596670069030008</v>
      </c>
      <c r="AJ85" s="210">
        <f>IF(AI85="","",$B85*'AEO 2018_Table 13'!AJ$16/'AEO 2018_Table 13'!$C$16)</f>
        <v>26.722345808694588</v>
      </c>
      <c r="AK85" s="210">
        <f>IF(AJ85="","",$B85*'AEO 2018_Table 13'!AK$16/'AEO 2018_Table 13'!$C$16)</f>
        <v>26.960170466442662</v>
      </c>
    </row>
    <row r="86" spans="1:37" x14ac:dyDescent="0.25">
      <c r="A86" s="230" t="s">
        <v>1238</v>
      </c>
      <c r="B86" s="231">
        <v>21.767062246252685</v>
      </c>
      <c r="C86" s="231">
        <f>IF(B86="","",$B86*'AEO 2018_Table 13'!C$16/'AEO 2018_Table 13'!$C$16)</f>
        <v>21.767062246252685</v>
      </c>
      <c r="D86" s="231">
        <f>IF(C86="","",$B86*'AEO 2018_Table 13'!D$16/'AEO 2018_Table 13'!$C$16)</f>
        <v>21.89561742154892</v>
      </c>
      <c r="E86" s="231">
        <f>IF(D86="","",$B86*'AEO 2018_Table 13'!E$16/'AEO 2018_Table 13'!$C$16)</f>
        <v>23.397773947036743</v>
      </c>
      <c r="F86" s="231">
        <f>IF(E86="","",$B86*'AEO 2018_Table 13'!F$16/'AEO 2018_Table 13'!$C$16)</f>
        <v>25.20152819864899</v>
      </c>
      <c r="G86" s="231">
        <f>IF(F86="","",$B86*'AEO 2018_Table 13'!G$16/'AEO 2018_Table 13'!$C$16)</f>
        <v>26.390327444379157</v>
      </c>
      <c r="H86" s="231">
        <f>IF(G86="","",$B86*'AEO 2018_Table 13'!H$16/'AEO 2018_Table 13'!$C$16)</f>
        <v>26.736341442509371</v>
      </c>
      <c r="I86" s="231">
        <f>IF(H86="","",$B86*'AEO 2018_Table 13'!I$16/'AEO 2018_Table 13'!$C$16)</f>
        <v>27.345962067940263</v>
      </c>
      <c r="J86" s="231">
        <f>IF(I86="","",$B86*'AEO 2018_Table 13'!J$16/'AEO 2018_Table 13'!$C$16)</f>
        <v>27.96218239339014</v>
      </c>
      <c r="K86" s="231">
        <f>IF(J86="","",$B86*'AEO 2018_Table 13'!K$16/'AEO 2018_Table 13'!$C$16)</f>
        <v>28.424104027100984</v>
      </c>
      <c r="L86" s="231">
        <f>IF(K86="","",$B86*'AEO 2018_Table 13'!L$16/'AEO 2018_Table 13'!$C$16)</f>
        <v>28.914143065434807</v>
      </c>
      <c r="M86" s="231">
        <f>IF(L86="","",$B86*'AEO 2018_Table 13'!M$16/'AEO 2018_Table 13'!$C$16)</f>
        <v>29.278039600394113</v>
      </c>
      <c r="N86" s="231">
        <f>IF(M86="","",$B86*'AEO 2018_Table 13'!N$16/'AEO 2018_Table 13'!$C$16)</f>
        <v>29.748777263354114</v>
      </c>
      <c r="O86" s="231">
        <f>IF(N86="","",$B86*'AEO 2018_Table 13'!O$16/'AEO 2018_Table 13'!$C$16)</f>
        <v>30.178012282891629</v>
      </c>
      <c r="P86" s="231">
        <f>IF(O86="","",$B86*'AEO 2018_Table 13'!P$16/'AEO 2018_Table 13'!$C$16)</f>
        <v>30.431502817606891</v>
      </c>
      <c r="Q86" s="231">
        <f>IF(P86="","",$B86*'AEO 2018_Table 13'!Q$16/'AEO 2018_Table 13'!$C$16)</f>
        <v>30.56589494600513</v>
      </c>
      <c r="R86" s="231">
        <f>IF(Q86="","",$B86*'AEO 2018_Table 13'!R$16/'AEO 2018_Table 13'!$C$16)</f>
        <v>30.707540442066236</v>
      </c>
      <c r="S86" s="231">
        <f>IF(R86="","",$B86*'AEO 2018_Table 13'!S$16/'AEO 2018_Table 13'!$C$16)</f>
        <v>30.798333989009514</v>
      </c>
      <c r="T86" s="231">
        <f>IF(S86="","",$B86*'AEO 2018_Table 13'!T$16/'AEO 2018_Table 13'!$C$16)</f>
        <v>30.905362571760982</v>
      </c>
      <c r="U86" s="231">
        <f>IF(T86="","",$B86*'AEO 2018_Table 13'!U$16/'AEO 2018_Table 13'!$C$16)</f>
        <v>31.145341012522113</v>
      </c>
      <c r="V86" s="231">
        <f>IF(U86="","",$B86*'AEO 2018_Table 13'!V$16/'AEO 2018_Table 13'!$C$16)</f>
        <v>31.286020955017769</v>
      </c>
      <c r="W86" s="231">
        <f>IF(V86="","",$B86*'AEO 2018_Table 13'!W$16/'AEO 2018_Table 13'!$C$16)</f>
        <v>31.525885468538121</v>
      </c>
      <c r="X86" s="231">
        <f>IF(W86="","",$B86*'AEO 2018_Table 13'!X$16/'AEO 2018_Table 13'!$C$16)</f>
        <v>31.815367315403901</v>
      </c>
      <c r="Y86" s="231">
        <f>IF(X86="","",$B86*'AEO 2018_Table 13'!Y$16/'AEO 2018_Table 13'!$C$16)</f>
        <v>31.972531964043917</v>
      </c>
      <c r="Z86" s="231">
        <f>IF(Y86="","",$B86*'AEO 2018_Table 13'!Z$16/'AEO 2018_Table 13'!$C$16)</f>
        <v>32.17487563160671</v>
      </c>
      <c r="AA86" s="231">
        <f>IF(Z86="","",$B86*'AEO 2018_Table 13'!AA$16/'AEO 2018_Table 13'!$C$16)</f>
        <v>32.444797544821725</v>
      </c>
      <c r="AB86" s="231">
        <f>IF(AA86="","",$B86*'AEO 2018_Table 13'!AB$16/'AEO 2018_Table 13'!$C$16)</f>
        <v>32.646177274808295</v>
      </c>
      <c r="AC86" s="231">
        <f>IF(AB86="","",$B86*'AEO 2018_Table 13'!AC$16/'AEO 2018_Table 13'!$C$16)</f>
        <v>32.9001825020936</v>
      </c>
      <c r="AD86" s="231">
        <f>IF(AC86="","",$B86*'AEO 2018_Table 13'!AD$16/'AEO 2018_Table 13'!$C$16)</f>
        <v>33.120951678867065</v>
      </c>
      <c r="AE86" s="231">
        <f>IF(AD86="","",$B86*'AEO 2018_Table 13'!AE$16/'AEO 2018_Table 13'!$C$16)</f>
        <v>33.334293769135343</v>
      </c>
      <c r="AF86" s="231">
        <f>IF(AE86="","",$B86*'AEO 2018_Table 13'!AF$16/'AEO 2018_Table 13'!$C$16)</f>
        <v>33.501841956578488</v>
      </c>
      <c r="AG86" s="231">
        <f>IF(AF86="","",$B86*'AEO 2018_Table 13'!AG$16/'AEO 2018_Table 13'!$C$16)</f>
        <v>33.741965028375787</v>
      </c>
      <c r="AH86" s="231">
        <f>IF(AG86="","",$B86*'AEO 2018_Table 13'!AH$16/'AEO 2018_Table 13'!$C$16)</f>
        <v>33.996549587800367</v>
      </c>
      <c r="AI86" s="231">
        <f>IF(AH86="","",$B86*'AEO 2018_Table 13'!AI$16/'AEO 2018_Table 13'!$C$16)</f>
        <v>34.258574969638609</v>
      </c>
      <c r="AJ86" s="231">
        <f>IF(AI86="","",$B86*'AEO 2018_Table 13'!AJ$16/'AEO 2018_Table 13'!$C$16)</f>
        <v>34.420455074854381</v>
      </c>
      <c r="AK86" s="231">
        <f>IF(AJ86="","",$B86*'AEO 2018_Table 13'!AK$16/'AEO 2018_Table 13'!$C$16)</f>
        <v>34.726791689398411</v>
      </c>
    </row>
    <row r="87" spans="1:37" x14ac:dyDescent="0.25">
      <c r="A87" s="207" t="s">
        <v>1198</v>
      </c>
      <c r="B87" s="233"/>
      <c r="C87" s="233" t="str">
        <f>IF(B87="","",$B87*'AEO 2018_Table 13'!C$16/'AEO 2018_Table 13'!$C$16)</f>
        <v/>
      </c>
      <c r="D87" s="233" t="str">
        <f>IF(C87="","",$B87*'AEO 2018_Table 13'!D$16/'AEO 2018_Table 13'!$C$16)</f>
        <v/>
      </c>
      <c r="E87" s="233" t="str">
        <f>IF(D87="","",$B87*'AEO 2018_Table 13'!E$16/'AEO 2018_Table 13'!$C$16)</f>
        <v/>
      </c>
      <c r="F87" s="233" t="str">
        <f>IF(E87="","",$B87*'AEO 2018_Table 13'!F$16/'AEO 2018_Table 13'!$C$16)</f>
        <v/>
      </c>
      <c r="G87" s="233" t="str">
        <f>IF(F87="","",$B87*'AEO 2018_Table 13'!G$16/'AEO 2018_Table 13'!$C$16)</f>
        <v/>
      </c>
      <c r="H87" s="233" t="str">
        <f>IF(G87="","",$B87*'AEO 2018_Table 13'!H$16/'AEO 2018_Table 13'!$C$16)</f>
        <v/>
      </c>
      <c r="I87" s="233" t="str">
        <f>IF(H87="","",$B87*'AEO 2018_Table 13'!I$16/'AEO 2018_Table 13'!$C$16)</f>
        <v/>
      </c>
      <c r="J87" s="233" t="str">
        <f>IF(I87="","",$B87*'AEO 2018_Table 13'!J$16/'AEO 2018_Table 13'!$C$16)</f>
        <v/>
      </c>
      <c r="K87" s="233" t="str">
        <f>IF(J87="","",$B87*'AEO 2018_Table 13'!K$16/'AEO 2018_Table 13'!$C$16)</f>
        <v/>
      </c>
      <c r="L87" s="233" t="str">
        <f>IF(K87="","",$B87*'AEO 2018_Table 13'!L$16/'AEO 2018_Table 13'!$C$16)</f>
        <v/>
      </c>
      <c r="M87" s="233" t="str">
        <f>IF(L87="","",$B87*'AEO 2018_Table 13'!M$16/'AEO 2018_Table 13'!$C$16)</f>
        <v/>
      </c>
      <c r="N87" s="233" t="str">
        <f>IF(M87="","",$B87*'AEO 2018_Table 13'!N$16/'AEO 2018_Table 13'!$C$16)</f>
        <v/>
      </c>
      <c r="O87" s="233" t="str">
        <f>IF(N87="","",$B87*'AEO 2018_Table 13'!O$16/'AEO 2018_Table 13'!$C$16)</f>
        <v/>
      </c>
      <c r="P87" s="233" t="str">
        <f>IF(O87="","",$B87*'AEO 2018_Table 13'!P$16/'AEO 2018_Table 13'!$C$16)</f>
        <v/>
      </c>
      <c r="Q87" s="233" t="str">
        <f>IF(P87="","",$B87*'AEO 2018_Table 13'!Q$16/'AEO 2018_Table 13'!$C$16)</f>
        <v/>
      </c>
      <c r="R87" s="233" t="str">
        <f>IF(Q87="","",$B87*'AEO 2018_Table 13'!R$16/'AEO 2018_Table 13'!$C$16)</f>
        <v/>
      </c>
      <c r="S87" s="233" t="str">
        <f>IF(R87="","",$B87*'AEO 2018_Table 13'!S$16/'AEO 2018_Table 13'!$C$16)</f>
        <v/>
      </c>
      <c r="T87" s="233" t="str">
        <f>IF(S87="","",$B87*'AEO 2018_Table 13'!T$16/'AEO 2018_Table 13'!$C$16)</f>
        <v/>
      </c>
      <c r="U87" s="233" t="str">
        <f>IF(T87="","",$B87*'AEO 2018_Table 13'!U$16/'AEO 2018_Table 13'!$C$16)</f>
        <v/>
      </c>
      <c r="V87" s="233" t="str">
        <f>IF(U87="","",$B87*'AEO 2018_Table 13'!V$16/'AEO 2018_Table 13'!$C$16)</f>
        <v/>
      </c>
      <c r="W87" s="233" t="str">
        <f>IF(V87="","",$B87*'AEO 2018_Table 13'!W$16/'AEO 2018_Table 13'!$C$16)</f>
        <v/>
      </c>
      <c r="X87" s="233" t="str">
        <f>IF(W87="","",$B87*'AEO 2018_Table 13'!X$16/'AEO 2018_Table 13'!$C$16)</f>
        <v/>
      </c>
      <c r="Y87" s="233" t="str">
        <f>IF(X87="","",$B87*'AEO 2018_Table 13'!Y$16/'AEO 2018_Table 13'!$C$16)</f>
        <v/>
      </c>
      <c r="Z87" s="233" t="str">
        <f>IF(Y87="","",$B87*'AEO 2018_Table 13'!Z$16/'AEO 2018_Table 13'!$C$16)</f>
        <v/>
      </c>
      <c r="AA87" s="233" t="str">
        <f>IF(Z87="","",$B87*'AEO 2018_Table 13'!AA$16/'AEO 2018_Table 13'!$C$16)</f>
        <v/>
      </c>
      <c r="AB87" s="233" t="str">
        <f>IF(AA87="","",$B87*'AEO 2018_Table 13'!AB$16/'AEO 2018_Table 13'!$C$16)</f>
        <v/>
      </c>
      <c r="AC87" s="233" t="str">
        <f>IF(AB87="","",$B87*'AEO 2018_Table 13'!AC$16/'AEO 2018_Table 13'!$C$16)</f>
        <v/>
      </c>
      <c r="AD87" s="233" t="str">
        <f>IF(AC87="","",$B87*'AEO 2018_Table 13'!AD$16/'AEO 2018_Table 13'!$C$16)</f>
        <v/>
      </c>
      <c r="AE87" s="233" t="str">
        <f>IF(AD87="","",$B87*'AEO 2018_Table 13'!AE$16/'AEO 2018_Table 13'!$C$16)</f>
        <v/>
      </c>
      <c r="AF87" s="233" t="str">
        <f>IF(AE87="","",$B87*'AEO 2018_Table 13'!AF$16/'AEO 2018_Table 13'!$C$16)</f>
        <v/>
      </c>
      <c r="AG87" s="233" t="str">
        <f>IF(AF87="","",$B87*'AEO 2018_Table 13'!AG$16/'AEO 2018_Table 13'!$C$16)</f>
        <v/>
      </c>
      <c r="AH87" s="233" t="str">
        <f>IF(AG87="","",$B87*'AEO 2018_Table 13'!AH$16/'AEO 2018_Table 13'!$C$16)</f>
        <v/>
      </c>
      <c r="AI87" s="233" t="str">
        <f>IF(AH87="","",$B87*'AEO 2018_Table 13'!AI$16/'AEO 2018_Table 13'!$C$16)</f>
        <v/>
      </c>
      <c r="AJ87" s="233" t="str">
        <f>IF(AI87="","",$B87*'AEO 2018_Table 13'!AJ$16/'AEO 2018_Table 13'!$C$16)</f>
        <v/>
      </c>
      <c r="AK87" s="233" t="str">
        <f>IF(AJ87="","",$B87*'AEO 2018_Table 13'!AK$16/'AEO 2018_Table 13'!$C$16)</f>
        <v/>
      </c>
    </row>
    <row r="88" spans="1:37" x14ac:dyDescent="0.25">
      <c r="A88" s="234" t="s">
        <v>1239</v>
      </c>
      <c r="B88" s="236"/>
      <c r="C88" s="236" t="str">
        <f>IF(B88="","",$B88*'AEO 2018_Table 13'!C$16/'AEO 2018_Table 13'!$C$16)</f>
        <v/>
      </c>
      <c r="D88" s="236" t="str">
        <f>IF(C88="","",$B88*'AEO 2018_Table 13'!D$16/'AEO 2018_Table 13'!$C$16)</f>
        <v/>
      </c>
      <c r="E88" s="236" t="str">
        <f>IF(D88="","",$B88*'AEO 2018_Table 13'!E$16/'AEO 2018_Table 13'!$C$16)</f>
        <v/>
      </c>
      <c r="F88" s="236" t="str">
        <f>IF(E88="","",$B88*'AEO 2018_Table 13'!F$16/'AEO 2018_Table 13'!$C$16)</f>
        <v/>
      </c>
      <c r="G88" s="236" t="str">
        <f>IF(F88="","",$B88*'AEO 2018_Table 13'!G$16/'AEO 2018_Table 13'!$C$16)</f>
        <v/>
      </c>
      <c r="H88" s="236" t="str">
        <f>IF(G88="","",$B88*'AEO 2018_Table 13'!H$16/'AEO 2018_Table 13'!$C$16)</f>
        <v/>
      </c>
      <c r="I88" s="236" t="str">
        <f>IF(H88="","",$B88*'AEO 2018_Table 13'!I$16/'AEO 2018_Table 13'!$C$16)</f>
        <v/>
      </c>
      <c r="J88" s="236" t="str">
        <f>IF(I88="","",$B88*'AEO 2018_Table 13'!J$16/'AEO 2018_Table 13'!$C$16)</f>
        <v/>
      </c>
      <c r="K88" s="236" t="str">
        <f>IF(J88="","",$B88*'AEO 2018_Table 13'!K$16/'AEO 2018_Table 13'!$C$16)</f>
        <v/>
      </c>
      <c r="L88" s="236" t="str">
        <f>IF(K88="","",$B88*'AEO 2018_Table 13'!L$16/'AEO 2018_Table 13'!$C$16)</f>
        <v/>
      </c>
      <c r="M88" s="236" t="str">
        <f>IF(L88="","",$B88*'AEO 2018_Table 13'!M$16/'AEO 2018_Table 13'!$C$16)</f>
        <v/>
      </c>
      <c r="N88" s="236" t="str">
        <f>IF(M88="","",$B88*'AEO 2018_Table 13'!N$16/'AEO 2018_Table 13'!$C$16)</f>
        <v/>
      </c>
      <c r="O88" s="236" t="str">
        <f>IF(N88="","",$B88*'AEO 2018_Table 13'!O$16/'AEO 2018_Table 13'!$C$16)</f>
        <v/>
      </c>
      <c r="P88" s="236" t="str">
        <f>IF(O88="","",$B88*'AEO 2018_Table 13'!P$16/'AEO 2018_Table 13'!$C$16)</f>
        <v/>
      </c>
      <c r="Q88" s="236" t="str">
        <f>IF(P88="","",$B88*'AEO 2018_Table 13'!Q$16/'AEO 2018_Table 13'!$C$16)</f>
        <v/>
      </c>
      <c r="R88" s="236" t="str">
        <f>IF(Q88="","",$B88*'AEO 2018_Table 13'!R$16/'AEO 2018_Table 13'!$C$16)</f>
        <v/>
      </c>
      <c r="S88" s="236" t="str">
        <f>IF(R88="","",$B88*'AEO 2018_Table 13'!S$16/'AEO 2018_Table 13'!$C$16)</f>
        <v/>
      </c>
      <c r="T88" s="236" t="str">
        <f>IF(S88="","",$B88*'AEO 2018_Table 13'!T$16/'AEO 2018_Table 13'!$C$16)</f>
        <v/>
      </c>
      <c r="U88" s="236" t="str">
        <f>IF(T88="","",$B88*'AEO 2018_Table 13'!U$16/'AEO 2018_Table 13'!$C$16)</f>
        <v/>
      </c>
      <c r="V88" s="236" t="str">
        <f>IF(U88="","",$B88*'AEO 2018_Table 13'!V$16/'AEO 2018_Table 13'!$C$16)</f>
        <v/>
      </c>
      <c r="W88" s="236" t="str">
        <f>IF(V88="","",$B88*'AEO 2018_Table 13'!W$16/'AEO 2018_Table 13'!$C$16)</f>
        <v/>
      </c>
      <c r="X88" s="236" t="str">
        <f>IF(W88="","",$B88*'AEO 2018_Table 13'!X$16/'AEO 2018_Table 13'!$C$16)</f>
        <v/>
      </c>
      <c r="Y88" s="236" t="str">
        <f>IF(X88="","",$B88*'AEO 2018_Table 13'!Y$16/'AEO 2018_Table 13'!$C$16)</f>
        <v/>
      </c>
      <c r="Z88" s="236" t="str">
        <f>IF(Y88="","",$B88*'AEO 2018_Table 13'!Z$16/'AEO 2018_Table 13'!$C$16)</f>
        <v/>
      </c>
      <c r="AA88" s="236" t="str">
        <f>IF(Z88="","",$B88*'AEO 2018_Table 13'!AA$16/'AEO 2018_Table 13'!$C$16)</f>
        <v/>
      </c>
      <c r="AB88" s="236" t="str">
        <f>IF(AA88="","",$B88*'AEO 2018_Table 13'!AB$16/'AEO 2018_Table 13'!$C$16)</f>
        <v/>
      </c>
      <c r="AC88" s="236" t="str">
        <f>IF(AB88="","",$B88*'AEO 2018_Table 13'!AC$16/'AEO 2018_Table 13'!$C$16)</f>
        <v/>
      </c>
      <c r="AD88" s="236" t="str">
        <f>IF(AC88="","",$B88*'AEO 2018_Table 13'!AD$16/'AEO 2018_Table 13'!$C$16)</f>
        <v/>
      </c>
      <c r="AE88" s="236" t="str">
        <f>IF(AD88="","",$B88*'AEO 2018_Table 13'!AE$16/'AEO 2018_Table 13'!$C$16)</f>
        <v/>
      </c>
      <c r="AF88" s="236" t="str">
        <f>IF(AE88="","",$B88*'AEO 2018_Table 13'!AF$16/'AEO 2018_Table 13'!$C$16)</f>
        <v/>
      </c>
      <c r="AG88" s="236" t="str">
        <f>IF(AF88="","",$B88*'AEO 2018_Table 13'!AG$16/'AEO 2018_Table 13'!$C$16)</f>
        <v/>
      </c>
      <c r="AH88" s="236" t="str">
        <f>IF(AG88="","",$B88*'AEO 2018_Table 13'!AH$16/'AEO 2018_Table 13'!$C$16)</f>
        <v/>
      </c>
      <c r="AI88" s="236" t="str">
        <f>IF(AH88="","",$B88*'AEO 2018_Table 13'!AI$16/'AEO 2018_Table 13'!$C$16)</f>
        <v/>
      </c>
      <c r="AJ88" s="236" t="str">
        <f>IF(AI88="","",$B88*'AEO 2018_Table 13'!AJ$16/'AEO 2018_Table 13'!$C$16)</f>
        <v/>
      </c>
      <c r="AK88" s="236" t="str">
        <f>IF(AJ88="","",$B88*'AEO 2018_Table 13'!AK$16/'AEO 2018_Table 13'!$C$16)</f>
        <v/>
      </c>
    </row>
    <row r="89" spans="1:37" x14ac:dyDescent="0.25">
      <c r="A89" s="213" t="s">
        <v>1240</v>
      </c>
      <c r="B89" s="193">
        <v>232.24126946372908</v>
      </c>
      <c r="C89" s="193">
        <f>IF(B89="","",$B89*'AEO 2018_Table 13'!C$16/'AEO 2018_Table 13'!$C$16)</f>
        <v>232.24126946372911</v>
      </c>
      <c r="D89" s="193">
        <f>IF(C89="","",$B89*'AEO 2018_Table 13'!D$16/'AEO 2018_Table 13'!$C$16)</f>
        <v>233.61287472534727</v>
      </c>
      <c r="E89" s="193">
        <f>IF(D89="","",$B89*'AEO 2018_Table 13'!E$16/'AEO 2018_Table 13'!$C$16)</f>
        <v>249.63996806783879</v>
      </c>
      <c r="F89" s="193">
        <f>IF(E89="","",$B89*'AEO 2018_Table 13'!F$16/'AEO 2018_Table 13'!$C$16)</f>
        <v>268.88492507930437</v>
      </c>
      <c r="G89" s="193">
        <f>IF(F89="","",$B89*'AEO 2018_Table 13'!G$16/'AEO 2018_Table 13'!$C$16)</f>
        <v>281.56868749255449</v>
      </c>
      <c r="H89" s="193">
        <f>IF(G89="","",$B89*'AEO 2018_Table 13'!H$16/'AEO 2018_Table 13'!$C$16)</f>
        <v>285.26044567603731</v>
      </c>
      <c r="I89" s="193">
        <f>IF(H89="","",$B89*'AEO 2018_Table 13'!I$16/'AEO 2018_Table 13'!$C$16)</f>
        <v>291.76472569047587</v>
      </c>
      <c r="J89" s="193">
        <f>IF(I89="","",$B89*'AEO 2018_Table 13'!J$16/'AEO 2018_Table 13'!$C$16)</f>
        <v>298.33942047623958</v>
      </c>
      <c r="K89" s="193">
        <f>IF(J89="","",$B89*'AEO 2018_Table 13'!K$16/'AEO 2018_Table 13'!$C$16)</f>
        <v>303.26784239152283</v>
      </c>
      <c r="L89" s="193">
        <f>IF(K89="","",$B89*'AEO 2018_Table 13'!L$16/'AEO 2018_Table 13'!$C$16)</f>
        <v>308.49625985373797</v>
      </c>
      <c r="M89" s="193">
        <f>IF(L89="","",$B89*'AEO 2018_Table 13'!M$16/'AEO 2018_Table 13'!$C$16)</f>
        <v>312.37881379125668</v>
      </c>
      <c r="N89" s="193">
        <f>IF(M89="","",$B89*'AEO 2018_Table 13'!N$16/'AEO 2018_Table 13'!$C$16)</f>
        <v>317.40129735809813</v>
      </c>
      <c r="O89" s="193">
        <f>IF(N89="","",$B89*'AEO 2018_Table 13'!O$16/'AEO 2018_Table 13'!$C$16)</f>
        <v>321.98097304919156</v>
      </c>
      <c r="P89" s="193">
        <f>IF(O89="","",$B89*'AEO 2018_Table 13'!P$16/'AEO 2018_Table 13'!$C$16)</f>
        <v>324.68556234623588</v>
      </c>
      <c r="Q89" s="193">
        <f>IF(P89="","",$B89*'AEO 2018_Table 13'!Q$16/'AEO 2018_Table 13'!$C$16)</f>
        <v>326.11944433508864</v>
      </c>
      <c r="R89" s="193">
        <f>IF(Q89="","",$B89*'AEO 2018_Table 13'!R$16/'AEO 2018_Table 13'!$C$16)</f>
        <v>327.63071533008548</v>
      </c>
      <c r="S89" s="193">
        <f>IF(R89="","",$B89*'AEO 2018_Table 13'!S$16/'AEO 2018_Table 13'!$C$16)</f>
        <v>328.59942706356026</v>
      </c>
      <c r="T89" s="193">
        <f>IF(S89="","",$B89*'AEO 2018_Table 13'!T$16/'AEO 2018_Table 13'!$C$16)</f>
        <v>329.74135672066791</v>
      </c>
      <c r="U89" s="193">
        <f>IF(T89="","",$B89*'AEO 2018_Table 13'!U$16/'AEO 2018_Table 13'!$C$16)</f>
        <v>332.30178022181752</v>
      </c>
      <c r="V89" s="193">
        <f>IF(U89="","",$B89*'AEO 2018_Table 13'!V$16/'AEO 2018_Table 13'!$C$16)</f>
        <v>333.80274934956003</v>
      </c>
      <c r="W89" s="193">
        <f>IF(V89="","",$B89*'AEO 2018_Table 13'!W$16/'AEO 2018_Table 13'!$C$16)</f>
        <v>336.36195731658171</v>
      </c>
      <c r="X89" s="193">
        <f>IF(W89="","",$B89*'AEO 2018_Table 13'!X$16/'AEO 2018_Table 13'!$C$16)</f>
        <v>339.45055194833492</v>
      </c>
      <c r="Y89" s="193">
        <f>IF(X89="","",$B89*'AEO 2018_Table 13'!Y$16/'AEO 2018_Table 13'!$C$16)</f>
        <v>341.12740282982037</v>
      </c>
      <c r="Z89" s="193">
        <f>IF(Y89="","",$B89*'AEO 2018_Table 13'!Z$16/'AEO 2018_Table 13'!$C$16)</f>
        <v>343.28628626990519</v>
      </c>
      <c r="AA89" s="193">
        <f>IF(Z89="","",$B89*'AEO 2018_Table 13'!AA$16/'AEO 2018_Table 13'!$C$16)</f>
        <v>346.16618834727103</v>
      </c>
      <c r="AB89" s="193">
        <f>IF(AA89="","",$B89*'AEO 2018_Table 13'!AB$16/'AEO 2018_Table 13'!$C$16)</f>
        <v>348.31478716172029</v>
      </c>
      <c r="AC89" s="193">
        <f>IF(AB89="","",$B89*'AEO 2018_Table 13'!AC$16/'AEO 2018_Table 13'!$C$16)</f>
        <v>351.02486791436388</v>
      </c>
      <c r="AD89" s="193">
        <f>IF(AC89="","",$B89*'AEO 2018_Table 13'!AD$16/'AEO 2018_Table 13'!$C$16)</f>
        <v>353.38034029241334</v>
      </c>
      <c r="AE89" s="193">
        <f>IF(AD89="","",$B89*'AEO 2018_Table 13'!AE$16/'AEO 2018_Table 13'!$C$16)</f>
        <v>355.65657019029402</v>
      </c>
      <c r="AF89" s="193">
        <f>IF(AE89="","",$B89*'AEO 2018_Table 13'!AF$16/'AEO 2018_Table 13'!$C$16)</f>
        <v>357.44420709360838</v>
      </c>
      <c r="AG89" s="193">
        <f>IF(AF89="","",$B89*'AEO 2018_Table 13'!AG$16/'AEO 2018_Table 13'!$C$16)</f>
        <v>360.00617371964381</v>
      </c>
      <c r="AH89" s="193">
        <f>IF(AG89="","",$B89*'AEO 2018_Table 13'!AH$16/'AEO 2018_Table 13'!$C$16)</f>
        <v>362.72243559263984</v>
      </c>
      <c r="AI89" s="193">
        <f>IF(AH89="","",$B89*'AEO 2018_Table 13'!AI$16/'AEO 2018_Table 13'!$C$16)</f>
        <v>365.51808649956502</v>
      </c>
      <c r="AJ89" s="193">
        <f>IF(AI89="","",$B89*'AEO 2018_Table 13'!AJ$16/'AEO 2018_Table 13'!$C$16)</f>
        <v>367.2452484248131</v>
      </c>
      <c r="AK89" s="193">
        <f>IF(AJ89="","",$B89*'AEO 2018_Table 13'!AK$16/'AEO 2018_Table 13'!$C$16)</f>
        <v>370.51367314102276</v>
      </c>
    </row>
    <row r="90" spans="1:37" x14ac:dyDescent="0.25">
      <c r="A90" s="212" t="s">
        <v>1241</v>
      </c>
      <c r="B90" s="196">
        <v>4.2740964336827938</v>
      </c>
      <c r="C90" s="196">
        <f>IF(B90="","",$B90*'AEO 2018_Table 13'!C$16/'AEO 2018_Table 13'!$C$16)</f>
        <v>4.2740964336827938</v>
      </c>
      <c r="D90" s="196">
        <f>IF(C90="","",$B90*'AEO 2018_Table 13'!D$16/'AEO 2018_Table 13'!$C$16)</f>
        <v>4.2993390323416785</v>
      </c>
      <c r="E90" s="196">
        <f>IF(D90="","",$B90*'AEO 2018_Table 13'!E$16/'AEO 2018_Table 13'!$C$16)</f>
        <v>4.5942966970824095</v>
      </c>
      <c r="F90" s="196">
        <f>IF(E90="","",$B90*'AEO 2018_Table 13'!F$16/'AEO 2018_Table 13'!$C$16)</f>
        <v>4.9484749287077321</v>
      </c>
      <c r="G90" s="196">
        <f>IF(F90="","",$B90*'AEO 2018_Table 13'!G$16/'AEO 2018_Table 13'!$C$16)</f>
        <v>5.181902965943892</v>
      </c>
      <c r="H90" s="196">
        <f>IF(G90="","",$B90*'AEO 2018_Table 13'!H$16/'AEO 2018_Table 13'!$C$16)</f>
        <v>5.2498449407810011</v>
      </c>
      <c r="I90" s="196">
        <f>IF(H90="","",$B90*'AEO 2018_Table 13'!I$16/'AEO 2018_Table 13'!$C$16)</f>
        <v>5.3695476967880591</v>
      </c>
      <c r="J90" s="196">
        <f>IF(I90="","",$B90*'AEO 2018_Table 13'!J$16/'AEO 2018_Table 13'!$C$16)</f>
        <v>5.4905463444499221</v>
      </c>
      <c r="K90" s="196">
        <f>IF(J90="","",$B90*'AEO 2018_Table 13'!K$16/'AEO 2018_Table 13'!$C$16)</f>
        <v>5.5812474958018612</v>
      </c>
      <c r="L90" s="196">
        <f>IF(K90="","",$B90*'AEO 2018_Table 13'!L$16/'AEO 2018_Table 13'!$C$16)</f>
        <v>5.6774696723368931</v>
      </c>
      <c r="M90" s="196">
        <f>IF(L90="","",$B90*'AEO 2018_Table 13'!M$16/'AEO 2018_Table 13'!$C$16)</f>
        <v>5.7489229931710755</v>
      </c>
      <c r="N90" s="196">
        <f>IF(M90="","",$B90*'AEO 2018_Table 13'!N$16/'AEO 2018_Table 13'!$C$16)</f>
        <v>5.8413552260418147</v>
      </c>
      <c r="O90" s="196">
        <f>IF(N90="","",$B90*'AEO 2018_Table 13'!O$16/'AEO 2018_Table 13'!$C$16)</f>
        <v>5.9256381598370211</v>
      </c>
      <c r="P90" s="196">
        <f>IF(O90="","",$B90*'AEO 2018_Table 13'!P$16/'AEO 2018_Table 13'!$C$16)</f>
        <v>5.9754125840630268</v>
      </c>
      <c r="Q90" s="196">
        <f>IF(P90="","",$B90*'AEO 2018_Table 13'!Q$16/'AEO 2018_Table 13'!$C$16)</f>
        <v>6.0018013043323784</v>
      </c>
      <c r="R90" s="196">
        <f>IF(Q90="","",$B90*'AEO 2018_Table 13'!R$16/'AEO 2018_Table 13'!$C$16)</f>
        <v>6.0296142679152922</v>
      </c>
      <c r="S90" s="196">
        <f>IF(R90="","",$B90*'AEO 2018_Table 13'!S$16/'AEO 2018_Table 13'!$C$16)</f>
        <v>6.0474421387966037</v>
      </c>
      <c r="T90" s="196">
        <f>IF(S90="","",$B90*'AEO 2018_Table 13'!T$16/'AEO 2018_Table 13'!$C$16)</f>
        <v>6.0684578587254121</v>
      </c>
      <c r="U90" s="196">
        <f>IF(T90="","",$B90*'AEO 2018_Table 13'!U$16/'AEO 2018_Table 13'!$C$16)</f>
        <v>6.115579100269823</v>
      </c>
      <c r="V90" s="196">
        <f>IF(U90="","",$B90*'AEO 2018_Table 13'!V$16/'AEO 2018_Table 13'!$C$16)</f>
        <v>6.1432024714766964</v>
      </c>
      <c r="W90" s="196">
        <f>IF(V90="","",$B90*'AEO 2018_Table 13'!W$16/'AEO 2018_Table 13'!$C$16)</f>
        <v>6.1903013427072819</v>
      </c>
      <c r="X90" s="196">
        <f>IF(W90="","",$B90*'AEO 2018_Table 13'!X$16/'AEO 2018_Table 13'!$C$16)</f>
        <v>6.2471428822456714</v>
      </c>
      <c r="Y90" s="196">
        <f>IF(X90="","",$B90*'AEO 2018_Table 13'!Y$16/'AEO 2018_Table 13'!$C$16)</f>
        <v>6.2780031268048075</v>
      </c>
      <c r="Z90" s="196">
        <f>IF(Y90="","",$B90*'AEO 2018_Table 13'!Z$16/'AEO 2018_Table 13'!$C$16)</f>
        <v>6.3177345493608001</v>
      </c>
      <c r="AA90" s="196">
        <f>IF(Z90="","",$B90*'AEO 2018_Table 13'!AA$16/'AEO 2018_Table 13'!$C$16)</f>
        <v>6.3707353757283416</v>
      </c>
      <c r="AB90" s="196">
        <f>IF(AA90="","",$B90*'AEO 2018_Table 13'!AB$16/'AEO 2018_Table 13'!$C$16)</f>
        <v>6.4102775232177107</v>
      </c>
      <c r="AC90" s="196">
        <f>IF(AB90="","",$B90*'AEO 2018_Table 13'!AC$16/'AEO 2018_Table 13'!$C$16)</f>
        <v>6.4601530104927019</v>
      </c>
      <c r="AD90" s="196">
        <f>IF(AC90="","",$B90*'AEO 2018_Table 13'!AD$16/'AEO 2018_Table 13'!$C$16)</f>
        <v>6.503502395009531</v>
      </c>
      <c r="AE90" s="196">
        <f>IF(AD90="","",$B90*'AEO 2018_Table 13'!AE$16/'AEO 2018_Table 13'!$C$16)</f>
        <v>6.5453934254505839</v>
      </c>
      <c r="AF90" s="196">
        <f>IF(AE90="","",$B90*'AEO 2018_Table 13'!AF$16/'AEO 2018_Table 13'!$C$16)</f>
        <v>6.5782925416620079</v>
      </c>
      <c r="AG90" s="196">
        <f>IF(AF90="","",$B90*'AEO 2018_Table 13'!AG$16/'AEO 2018_Table 13'!$C$16)</f>
        <v>6.6254421823991478</v>
      </c>
      <c r="AH90" s="196">
        <f>IF(AG90="","",$B90*'AEO 2018_Table 13'!AH$16/'AEO 2018_Table 13'!$C$16)</f>
        <v>6.6754314250997622</v>
      </c>
      <c r="AI90" s="196">
        <f>IF(AH90="","",$B90*'AEO 2018_Table 13'!AI$16/'AEO 2018_Table 13'!$C$16)</f>
        <v>6.7268817190061903</v>
      </c>
      <c r="AJ90" s="196">
        <f>IF(AI90="","",$B90*'AEO 2018_Table 13'!AJ$16/'AEO 2018_Table 13'!$C$16)</f>
        <v>6.7586678724411149</v>
      </c>
      <c r="AK90" s="196">
        <f>IF(AJ90="","",$B90*'AEO 2018_Table 13'!AK$16/'AEO 2018_Table 13'!$C$16)</f>
        <v>6.8188189491880236</v>
      </c>
    </row>
    <row r="91" spans="1:37" x14ac:dyDescent="0.25">
      <c r="A91" s="212" t="s">
        <v>1242</v>
      </c>
      <c r="B91" s="196">
        <v>14.456249203329101</v>
      </c>
      <c r="C91" s="196">
        <f>IF(B91="","",$B91*'AEO 2018_Table 13'!C$16/'AEO 2018_Table 13'!$C$16)</f>
        <v>14.456249203329101</v>
      </c>
      <c r="D91" s="196">
        <f>IF(C91="","",$B91*'AEO 2018_Table 13'!D$16/'AEO 2018_Table 13'!$C$16)</f>
        <v>14.541627084341959</v>
      </c>
      <c r="E91" s="196">
        <f>IF(D91="","",$B91*'AEO 2018_Table 13'!E$16/'AEO 2018_Table 13'!$C$16)</f>
        <v>15.539260519170647</v>
      </c>
      <c r="F91" s="196">
        <f>IF(E91="","",$B91*'AEO 2018_Table 13'!F$16/'AEO 2018_Table 13'!$C$16)</f>
        <v>16.737195300992667</v>
      </c>
      <c r="G91" s="196">
        <f>IF(F91="","",$B91*'AEO 2018_Table 13'!G$16/'AEO 2018_Table 13'!$C$16)</f>
        <v>17.526717467768457</v>
      </c>
      <c r="H91" s="196">
        <f>IF(G91="","",$B91*'AEO 2018_Table 13'!H$16/'AEO 2018_Table 13'!$C$16)</f>
        <v>17.756517177450078</v>
      </c>
      <c r="I91" s="196">
        <f>IF(H91="","",$B91*'AEO 2018_Table 13'!I$16/'AEO 2018_Table 13'!$C$16)</f>
        <v>18.161387048313589</v>
      </c>
      <c r="J91" s="196">
        <f>IF(I91="","",$B91*'AEO 2018_Table 13'!J$16/'AEO 2018_Table 13'!$C$16)</f>
        <v>18.570640005285014</v>
      </c>
      <c r="K91" s="196">
        <f>IF(J91="","",$B91*'AEO 2018_Table 13'!K$16/'AEO 2018_Table 13'!$C$16)</f>
        <v>18.877417933045223</v>
      </c>
      <c r="L91" s="196">
        <f>IF(K91="","",$B91*'AEO 2018_Table 13'!L$16/'AEO 2018_Table 13'!$C$16)</f>
        <v>19.202869589192943</v>
      </c>
      <c r="M91" s="196">
        <f>IF(L91="","",$B91*'AEO 2018_Table 13'!M$16/'AEO 2018_Table 13'!$C$16)</f>
        <v>19.444545702123865</v>
      </c>
      <c r="N91" s="196">
        <f>IF(M91="","",$B91*'AEO 2018_Table 13'!N$16/'AEO 2018_Table 13'!$C$16)</f>
        <v>19.7571786559031</v>
      </c>
      <c r="O91" s="196">
        <f>IF(N91="","",$B91*'AEO 2018_Table 13'!O$16/'AEO 2018_Table 13'!$C$16)</f>
        <v>20.042248287212601</v>
      </c>
      <c r="P91" s="196">
        <f>IF(O91="","",$B91*'AEO 2018_Table 13'!P$16/'AEO 2018_Table 13'!$C$16)</f>
        <v>20.210600005927418</v>
      </c>
      <c r="Q91" s="196">
        <f>IF(P91="","",$B91*'AEO 2018_Table 13'!Q$16/'AEO 2018_Table 13'!$C$16)</f>
        <v>20.299854406779104</v>
      </c>
      <c r="R91" s="196">
        <f>IF(Q91="","",$B91*'AEO 2018_Table 13'!R$16/'AEO 2018_Table 13'!$C$16)</f>
        <v>20.393926016738369</v>
      </c>
      <c r="S91" s="196">
        <f>IF(R91="","",$B91*'AEO 2018_Table 13'!S$16/'AEO 2018_Table 13'!$C$16)</f>
        <v>20.454225111113963</v>
      </c>
      <c r="T91" s="196">
        <f>IF(S91="","",$B91*'AEO 2018_Table 13'!T$16/'AEO 2018_Table 13'!$C$16)</f>
        <v>20.525306447062302</v>
      </c>
      <c r="U91" s="196">
        <f>IF(T91="","",$B91*'AEO 2018_Table 13'!U$16/'AEO 2018_Table 13'!$C$16)</f>
        <v>20.684684322855649</v>
      </c>
      <c r="V91" s="196">
        <f>IF(U91="","",$B91*'AEO 2018_Table 13'!V$16/'AEO 2018_Table 13'!$C$16)</f>
        <v>20.77811467572641</v>
      </c>
      <c r="W91" s="196">
        <f>IF(V91="","",$B91*'AEO 2018_Table 13'!W$16/'AEO 2018_Table 13'!$C$16)</f>
        <v>20.937416888549475</v>
      </c>
      <c r="X91" s="196">
        <f>IF(W91="","",$B91*'AEO 2018_Table 13'!X$16/'AEO 2018_Table 13'!$C$16)</f>
        <v>21.129671666469822</v>
      </c>
      <c r="Y91" s="196">
        <f>IF(X91="","",$B91*'AEO 2018_Table 13'!Y$16/'AEO 2018_Table 13'!$C$16)</f>
        <v>21.234050075507763</v>
      </c>
      <c r="Z91" s="196">
        <f>IF(Y91="","",$B91*'AEO 2018_Table 13'!Z$16/'AEO 2018_Table 13'!$C$16)</f>
        <v>21.368433413503084</v>
      </c>
      <c r="AA91" s="196">
        <f>IF(Z91="","",$B91*'AEO 2018_Table 13'!AA$16/'AEO 2018_Table 13'!$C$16)</f>
        <v>21.547697771675601</v>
      </c>
      <c r="AB91" s="196">
        <f>IF(AA91="","",$B91*'AEO 2018_Table 13'!AB$16/'AEO 2018_Table 13'!$C$16)</f>
        <v>21.68144092581603</v>
      </c>
      <c r="AC91" s="196">
        <f>IF(AB91="","",$B91*'AEO 2018_Table 13'!AC$16/'AEO 2018_Table 13'!$C$16)</f>
        <v>21.850134469439119</v>
      </c>
      <c r="AD91" s="196">
        <f>IF(AC91="","",$B91*'AEO 2018_Table 13'!AD$16/'AEO 2018_Table 13'!$C$16)</f>
        <v>21.996754817180367</v>
      </c>
      <c r="AE91" s="196">
        <f>IF(AD91="","",$B91*'AEO 2018_Table 13'!AE$16/'AEO 2018_Table 13'!$C$16)</f>
        <v>22.138442583199797</v>
      </c>
      <c r="AF91" s="196">
        <f>IF(AE91="","",$B91*'AEO 2018_Table 13'!AF$16/'AEO 2018_Table 13'!$C$16)</f>
        <v>22.24971705486908</v>
      </c>
      <c r="AG91" s="196">
        <f>IF(AF91="","",$B91*'AEO 2018_Table 13'!AG$16/'AEO 2018_Table 13'!$C$16)</f>
        <v>22.409190985071501</v>
      </c>
      <c r="AH91" s="196">
        <f>IF(AG91="","",$B91*'AEO 2018_Table 13'!AH$16/'AEO 2018_Table 13'!$C$16)</f>
        <v>22.578269282947691</v>
      </c>
      <c r="AI91" s="196">
        <f>IF(AH91="","",$B91*'AEO 2018_Table 13'!AI$16/'AEO 2018_Table 13'!$C$16)</f>
        <v>22.752289285031488</v>
      </c>
      <c r="AJ91" s="196">
        <f>IF(AI91="","",$B91*'AEO 2018_Table 13'!AJ$16/'AEO 2018_Table 13'!$C$16)</f>
        <v>22.859799389775333</v>
      </c>
      <c r="AK91" s="196">
        <f>IF(AJ91="","",$B91*'AEO 2018_Table 13'!AK$16/'AEO 2018_Table 13'!$C$16)</f>
        <v>23.063247994362065</v>
      </c>
    </row>
    <row r="92" spans="1:37" x14ac:dyDescent="0.25">
      <c r="A92" s="206" t="s">
        <v>1243</v>
      </c>
      <c r="B92" s="195">
        <v>2.1160751488200003</v>
      </c>
      <c r="C92" s="195">
        <f>IF(B92="","",$B92*'AEO 2018_Table 13'!C$16/'AEO 2018_Table 13'!$C$16)</f>
        <v>2.1160751488200003</v>
      </c>
      <c r="D92" s="195">
        <f>IF(C92="","",$B92*'AEO 2018_Table 13'!D$16/'AEO 2018_Table 13'!$C$16)</f>
        <v>2.1285725822641202</v>
      </c>
      <c r="E92" s="195">
        <f>IF(D92="","",$B92*'AEO 2018_Table 13'!E$16/'AEO 2018_Table 13'!$C$16)</f>
        <v>2.2746040520721236</v>
      </c>
      <c r="F92" s="195">
        <f>IF(E92="","",$B92*'AEO 2018_Table 13'!F$16/'AEO 2018_Table 13'!$C$16)</f>
        <v>2.449955208936307</v>
      </c>
      <c r="G92" s="195">
        <f>IF(F92="","",$B92*'AEO 2018_Table 13'!G$16/'AEO 2018_Table 13'!$C$16)</f>
        <v>2.5655237919801044</v>
      </c>
      <c r="H92" s="195">
        <f>IF(G92="","",$B92*'AEO 2018_Table 13'!H$16/'AEO 2018_Table 13'!$C$16)</f>
        <v>2.5991613869069643</v>
      </c>
      <c r="I92" s="195">
        <f>IF(H92="","",$B92*'AEO 2018_Table 13'!I$16/'AEO 2018_Table 13'!$C$16)</f>
        <v>2.6584253813352663</v>
      </c>
      <c r="J92" s="195">
        <f>IF(I92="","",$B92*'AEO 2018_Table 13'!J$16/'AEO 2018_Table 13'!$C$16)</f>
        <v>2.718330962627328</v>
      </c>
      <c r="K92" s="195">
        <f>IF(J92="","",$B92*'AEO 2018_Table 13'!K$16/'AEO 2018_Table 13'!$C$16)</f>
        <v>2.7632364661233786</v>
      </c>
      <c r="L92" s="195">
        <f>IF(K92="","",$B92*'AEO 2018_Table 13'!L$16/'AEO 2018_Table 13'!$C$16)</f>
        <v>2.8108753904411681</v>
      </c>
      <c r="M92" s="195">
        <f>IF(L92="","",$B92*'AEO 2018_Table 13'!M$16/'AEO 2018_Table 13'!$C$16)</f>
        <v>2.8462514281286455</v>
      </c>
      <c r="N92" s="195">
        <f>IF(M92="","",$B92*'AEO 2018_Table 13'!N$16/'AEO 2018_Table 13'!$C$16)</f>
        <v>2.8920139779359699</v>
      </c>
      <c r="O92" s="195">
        <f>IF(N92="","",$B92*'AEO 2018_Table 13'!O$16/'AEO 2018_Table 13'!$C$16)</f>
        <v>2.9337418669625639</v>
      </c>
      <c r="P92" s="195">
        <f>IF(O92="","",$B92*'AEO 2018_Table 13'!P$16/'AEO 2018_Table 13'!$C$16)</f>
        <v>2.9583848350812598</v>
      </c>
      <c r="Q92" s="195">
        <f>IF(P92="","",$B92*'AEO 2018_Table 13'!Q$16/'AEO 2018_Table 13'!$C$16)</f>
        <v>2.9714497052912709</v>
      </c>
      <c r="R92" s="195">
        <f>IF(Q92="","",$B92*'AEO 2018_Table 13'!R$16/'AEO 2018_Table 13'!$C$16)</f>
        <v>2.9852197083705247</v>
      </c>
      <c r="S92" s="195">
        <f>IF(R92="","",$B92*'AEO 2018_Table 13'!S$16/'AEO 2018_Table 13'!$C$16)</f>
        <v>2.994046162128333</v>
      </c>
      <c r="T92" s="195">
        <f>IF(S92="","",$B92*'AEO 2018_Table 13'!T$16/'AEO 2018_Table 13'!$C$16)</f>
        <v>3.0044508975773159</v>
      </c>
      <c r="U92" s="195">
        <f>IF(T92="","",$B92*'AEO 2018_Table 13'!U$16/'AEO 2018_Table 13'!$C$16)</f>
        <v>3.02778029357032</v>
      </c>
      <c r="V92" s="195">
        <f>IF(U92="","",$B92*'AEO 2018_Table 13'!V$16/'AEO 2018_Table 13'!$C$16)</f>
        <v>3.0414564307947507</v>
      </c>
      <c r="W92" s="195">
        <f>IF(V92="","",$B92*'AEO 2018_Table 13'!W$16/'AEO 2018_Table 13'!$C$16)</f>
        <v>3.064774751402374</v>
      </c>
      <c r="X92" s="195">
        <f>IF(W92="","",$B92*'AEO 2018_Table 13'!X$16/'AEO 2018_Table 13'!$C$16)</f>
        <v>3.0929165987154015</v>
      </c>
      <c r="Y92" s="195">
        <f>IF(X92="","",$B92*'AEO 2018_Table 13'!Y$16/'AEO 2018_Table 13'!$C$16)</f>
        <v>3.1081952892202453</v>
      </c>
      <c r="Z92" s="195">
        <f>IF(Y92="","",$B92*'AEO 2018_Table 13'!Z$16/'AEO 2018_Table 13'!$C$16)</f>
        <v>3.1278660376936385</v>
      </c>
      <c r="AA92" s="195">
        <f>IF(Z92="","",$B92*'AEO 2018_Table 13'!AA$16/'AEO 2018_Table 13'!$C$16)</f>
        <v>3.1541063748698037</v>
      </c>
      <c r="AB92" s="195">
        <f>IF(AA92="","",$B92*'AEO 2018_Table 13'!AB$16/'AEO 2018_Table 13'!$C$16)</f>
        <v>3.1736834145860389</v>
      </c>
      <c r="AC92" s="195">
        <f>IF(AB92="","",$B92*'AEO 2018_Table 13'!AC$16/'AEO 2018_Table 13'!$C$16)</f>
        <v>3.198376418311029</v>
      </c>
      <c r="AD92" s="195">
        <f>IF(AC92="","",$B92*'AEO 2018_Table 13'!AD$16/'AEO 2018_Table 13'!$C$16)</f>
        <v>3.2198383943604711</v>
      </c>
      <c r="AE92" s="195">
        <f>IF(AD92="","",$B92*'AEO 2018_Table 13'!AE$16/'AEO 2018_Table 13'!$C$16)</f>
        <v>3.2405783495416864</v>
      </c>
      <c r="AF92" s="195">
        <f>IF(AE92="","",$B92*'AEO 2018_Table 13'!AF$16/'AEO 2018_Table 13'!$C$16)</f>
        <v>3.2568664710928301</v>
      </c>
      <c r="AG92" s="195">
        <f>IF(AF92="","",$B92*'AEO 2018_Table 13'!AG$16/'AEO 2018_Table 13'!$C$16)</f>
        <v>3.2802099273268497</v>
      </c>
      <c r="AH92" s="195">
        <f>IF(AG92="","",$B92*'AEO 2018_Table 13'!AH$16/'AEO 2018_Table 13'!$C$16)</f>
        <v>3.3049592505647336</v>
      </c>
      <c r="AI92" s="195">
        <f>IF(AH92="","",$B92*'AEO 2018_Table 13'!AI$16/'AEO 2018_Table 13'!$C$16)</f>
        <v>3.3304319300009966</v>
      </c>
      <c r="AJ92" s="195">
        <f>IF(AI92="","",$B92*'AEO 2018_Table 13'!AJ$16/'AEO 2018_Table 13'!$C$16)</f>
        <v>3.3461690314922388</v>
      </c>
      <c r="AK92" s="195">
        <f>IF(AJ92="","",$B92*'AEO 2018_Table 13'!AK$16/'AEO 2018_Table 13'!$C$16)</f>
        <v>3.3759494074509586</v>
      </c>
    </row>
    <row r="93" spans="1:37" x14ac:dyDescent="0.25">
      <c r="A93" s="219" t="s">
        <v>1244</v>
      </c>
      <c r="B93" s="221"/>
      <c r="C93" s="221" t="str">
        <f>IF(B93="","",$B93*'AEO 2018_Table 13'!C$16/'AEO 2018_Table 13'!$C$16)</f>
        <v/>
      </c>
      <c r="D93" s="221" t="str">
        <f>IF(C93="","",$B93*'AEO 2018_Table 13'!D$16/'AEO 2018_Table 13'!$C$16)</f>
        <v/>
      </c>
      <c r="E93" s="221" t="str">
        <f>IF(D93="","",$B93*'AEO 2018_Table 13'!E$16/'AEO 2018_Table 13'!$C$16)</f>
        <v/>
      </c>
      <c r="F93" s="221" t="str">
        <f>IF(E93="","",$B93*'AEO 2018_Table 13'!F$16/'AEO 2018_Table 13'!$C$16)</f>
        <v/>
      </c>
      <c r="G93" s="221" t="str">
        <f>IF(F93="","",$B93*'AEO 2018_Table 13'!G$16/'AEO 2018_Table 13'!$C$16)</f>
        <v/>
      </c>
      <c r="H93" s="221" t="str">
        <f>IF(G93="","",$B93*'AEO 2018_Table 13'!H$16/'AEO 2018_Table 13'!$C$16)</f>
        <v/>
      </c>
      <c r="I93" s="221" t="str">
        <f>IF(H93="","",$B93*'AEO 2018_Table 13'!I$16/'AEO 2018_Table 13'!$C$16)</f>
        <v/>
      </c>
      <c r="J93" s="221" t="str">
        <f>IF(I93="","",$B93*'AEO 2018_Table 13'!J$16/'AEO 2018_Table 13'!$C$16)</f>
        <v/>
      </c>
      <c r="K93" s="221" t="str">
        <f>IF(J93="","",$B93*'AEO 2018_Table 13'!K$16/'AEO 2018_Table 13'!$C$16)</f>
        <v/>
      </c>
      <c r="L93" s="221" t="str">
        <f>IF(K93="","",$B93*'AEO 2018_Table 13'!L$16/'AEO 2018_Table 13'!$C$16)</f>
        <v/>
      </c>
      <c r="M93" s="221" t="str">
        <f>IF(L93="","",$B93*'AEO 2018_Table 13'!M$16/'AEO 2018_Table 13'!$C$16)</f>
        <v/>
      </c>
      <c r="N93" s="221" t="str">
        <f>IF(M93="","",$B93*'AEO 2018_Table 13'!N$16/'AEO 2018_Table 13'!$C$16)</f>
        <v/>
      </c>
      <c r="O93" s="221" t="str">
        <f>IF(N93="","",$B93*'AEO 2018_Table 13'!O$16/'AEO 2018_Table 13'!$C$16)</f>
        <v/>
      </c>
      <c r="P93" s="221" t="str">
        <f>IF(O93="","",$B93*'AEO 2018_Table 13'!P$16/'AEO 2018_Table 13'!$C$16)</f>
        <v/>
      </c>
      <c r="Q93" s="221" t="str">
        <f>IF(P93="","",$B93*'AEO 2018_Table 13'!Q$16/'AEO 2018_Table 13'!$C$16)</f>
        <v/>
      </c>
      <c r="R93" s="221" t="str">
        <f>IF(Q93="","",$B93*'AEO 2018_Table 13'!R$16/'AEO 2018_Table 13'!$C$16)</f>
        <v/>
      </c>
      <c r="S93" s="221" t="str">
        <f>IF(R93="","",$B93*'AEO 2018_Table 13'!S$16/'AEO 2018_Table 13'!$C$16)</f>
        <v/>
      </c>
      <c r="T93" s="221" t="str">
        <f>IF(S93="","",$B93*'AEO 2018_Table 13'!T$16/'AEO 2018_Table 13'!$C$16)</f>
        <v/>
      </c>
      <c r="U93" s="221" t="str">
        <f>IF(T93="","",$B93*'AEO 2018_Table 13'!U$16/'AEO 2018_Table 13'!$C$16)</f>
        <v/>
      </c>
      <c r="V93" s="221" t="str">
        <f>IF(U93="","",$B93*'AEO 2018_Table 13'!V$16/'AEO 2018_Table 13'!$C$16)</f>
        <v/>
      </c>
      <c r="W93" s="221" t="str">
        <f>IF(V93="","",$B93*'AEO 2018_Table 13'!W$16/'AEO 2018_Table 13'!$C$16)</f>
        <v/>
      </c>
      <c r="X93" s="221" t="str">
        <f>IF(W93="","",$B93*'AEO 2018_Table 13'!X$16/'AEO 2018_Table 13'!$C$16)</f>
        <v/>
      </c>
      <c r="Y93" s="221" t="str">
        <f>IF(X93="","",$B93*'AEO 2018_Table 13'!Y$16/'AEO 2018_Table 13'!$C$16)</f>
        <v/>
      </c>
      <c r="Z93" s="221" t="str">
        <f>IF(Y93="","",$B93*'AEO 2018_Table 13'!Z$16/'AEO 2018_Table 13'!$C$16)</f>
        <v/>
      </c>
      <c r="AA93" s="221" t="str">
        <f>IF(Z93="","",$B93*'AEO 2018_Table 13'!AA$16/'AEO 2018_Table 13'!$C$16)</f>
        <v/>
      </c>
      <c r="AB93" s="221" t="str">
        <f>IF(AA93="","",$B93*'AEO 2018_Table 13'!AB$16/'AEO 2018_Table 13'!$C$16)</f>
        <v/>
      </c>
      <c r="AC93" s="221" t="str">
        <f>IF(AB93="","",$B93*'AEO 2018_Table 13'!AC$16/'AEO 2018_Table 13'!$C$16)</f>
        <v/>
      </c>
      <c r="AD93" s="221" t="str">
        <f>IF(AC93="","",$B93*'AEO 2018_Table 13'!AD$16/'AEO 2018_Table 13'!$C$16)</f>
        <v/>
      </c>
      <c r="AE93" s="221" t="str">
        <f>IF(AD93="","",$B93*'AEO 2018_Table 13'!AE$16/'AEO 2018_Table 13'!$C$16)</f>
        <v/>
      </c>
      <c r="AF93" s="221" t="str">
        <f>IF(AE93="","",$B93*'AEO 2018_Table 13'!AF$16/'AEO 2018_Table 13'!$C$16)</f>
        <v/>
      </c>
      <c r="AG93" s="221" t="str">
        <f>IF(AF93="","",$B93*'AEO 2018_Table 13'!AG$16/'AEO 2018_Table 13'!$C$16)</f>
        <v/>
      </c>
      <c r="AH93" s="221" t="str">
        <f>IF(AG93="","",$B93*'AEO 2018_Table 13'!AH$16/'AEO 2018_Table 13'!$C$16)</f>
        <v/>
      </c>
      <c r="AI93" s="221" t="str">
        <f>IF(AH93="","",$B93*'AEO 2018_Table 13'!AI$16/'AEO 2018_Table 13'!$C$16)</f>
        <v/>
      </c>
      <c r="AJ93" s="221" t="str">
        <f>IF(AI93="","",$B93*'AEO 2018_Table 13'!AJ$16/'AEO 2018_Table 13'!$C$16)</f>
        <v/>
      </c>
      <c r="AK93" s="221" t="str">
        <f>IF(AJ93="","",$B93*'AEO 2018_Table 13'!AK$16/'AEO 2018_Table 13'!$C$16)</f>
        <v/>
      </c>
    </row>
    <row r="94" spans="1:37" x14ac:dyDescent="0.25">
      <c r="A94" s="217" t="s">
        <v>1245</v>
      </c>
      <c r="B94" s="218">
        <v>35.497240107066361</v>
      </c>
      <c r="C94" s="218">
        <f>IF(B94="","",$B94*'AEO 2018_Table 13'!C$16/'AEO 2018_Table 13'!$C$16)</f>
        <v>35.497240107066361</v>
      </c>
      <c r="D94" s="218">
        <f>IF(C94="","",$B94*'AEO 2018_Table 13'!D$16/'AEO 2018_Table 13'!$C$16)</f>
        <v>35.706885022529498</v>
      </c>
      <c r="E94" s="218">
        <f>IF(D94="","",$B94*'AEO 2018_Table 13'!E$16/'AEO 2018_Table 13'!$C$16)</f>
        <v>38.156568413902967</v>
      </c>
      <c r="F94" s="218">
        <f>IF(E94="","",$B94*'AEO 2018_Table 13'!F$16/'AEO 2018_Table 13'!$C$16)</f>
        <v>41.098090656972062</v>
      </c>
      <c r="G94" s="218">
        <f>IF(F94="","",$B94*'AEO 2018_Table 13'!G$16/'AEO 2018_Table 13'!$C$16)</f>
        <v>43.036757978606047</v>
      </c>
      <c r="H94" s="218">
        <f>IF(G94="","",$B94*'AEO 2018_Table 13'!H$16/'AEO 2018_Table 13'!$C$16)</f>
        <v>43.601029897024844</v>
      </c>
      <c r="I94" s="218">
        <f>IF(H94="","",$B94*'AEO 2018_Table 13'!I$16/'AEO 2018_Table 13'!$C$16)</f>
        <v>44.595185629678468</v>
      </c>
      <c r="J94" s="218">
        <f>IF(I94="","",$B94*'AEO 2018_Table 13'!J$16/'AEO 2018_Table 13'!$C$16)</f>
        <v>45.600104006071426</v>
      </c>
      <c r="K94" s="218">
        <f>IF(J94="","",$B94*'AEO 2018_Table 13'!K$16/'AEO 2018_Table 13'!$C$16)</f>
        <v>46.353395513992076</v>
      </c>
      <c r="L94" s="218">
        <f>IF(K94="","",$B94*'AEO 2018_Table 13'!L$16/'AEO 2018_Table 13'!$C$16)</f>
        <v>47.152540258872207</v>
      </c>
      <c r="M94" s="218">
        <f>IF(L94="","",$B94*'AEO 2018_Table 13'!M$16/'AEO 2018_Table 13'!$C$16)</f>
        <v>47.745974619901055</v>
      </c>
      <c r="N94" s="218">
        <f>IF(M94="","",$B94*'AEO 2018_Table 13'!N$16/'AEO 2018_Table 13'!$C$16)</f>
        <v>48.513643111886331</v>
      </c>
      <c r="O94" s="218">
        <f>IF(N94="","",$B94*'AEO 2018_Table 13'!O$16/'AEO 2018_Table 13'!$C$16)</f>
        <v>49.21363001772189</v>
      </c>
      <c r="P94" s="218">
        <f>IF(O94="","",$B94*'AEO 2018_Table 13'!P$16/'AEO 2018_Table 13'!$C$16)</f>
        <v>49.627016733570763</v>
      </c>
      <c r="Q94" s="218">
        <f>IF(P94="","",$B94*'AEO 2018_Table 13'!Q$16/'AEO 2018_Table 13'!$C$16)</f>
        <v>49.846180422096211</v>
      </c>
      <c r="R94" s="218">
        <f>IF(Q94="","",$B94*'AEO 2018_Table 13'!R$16/'AEO 2018_Table 13'!$C$16)</f>
        <v>50.077172740989923</v>
      </c>
      <c r="S94" s="218">
        <f>IF(R94="","",$B94*'AEO 2018_Table 13'!S$16/'AEO 2018_Table 13'!$C$16)</f>
        <v>50.225236834323084</v>
      </c>
      <c r="T94" s="218">
        <f>IF(S94="","",$B94*'AEO 2018_Table 13'!T$16/'AEO 2018_Table 13'!$C$16)</f>
        <v>50.399776662310288</v>
      </c>
      <c r="U94" s="218">
        <f>IF(T94="","",$B94*'AEO 2018_Table 13'!U$16/'AEO 2018_Table 13'!$C$16)</f>
        <v>50.791128156409307</v>
      </c>
      <c r="V94" s="218">
        <f>IF(U94="","",$B94*'AEO 2018_Table 13'!V$16/'AEO 2018_Table 13'!$C$16)</f>
        <v>51.020545872062513</v>
      </c>
      <c r="W94" s="218">
        <f>IF(V94="","",$B94*'AEO 2018_Table 13'!W$16/'AEO 2018_Table 13'!$C$16)</f>
        <v>51.411711576155753</v>
      </c>
      <c r="X94" s="218">
        <f>IF(W94="","",$B94*'AEO 2018_Table 13'!X$16/'AEO 2018_Table 13'!$C$16)</f>
        <v>51.883792121917068</v>
      </c>
      <c r="Y94" s="218">
        <f>IF(X94="","",$B94*'AEO 2018_Table 13'!Y$16/'AEO 2018_Table 13'!$C$16)</f>
        <v>52.140092729045527</v>
      </c>
      <c r="Z94" s="218">
        <f>IF(Y94="","",$B94*'AEO 2018_Table 13'!Z$16/'AEO 2018_Table 13'!$C$16)</f>
        <v>52.47007027357418</v>
      </c>
      <c r="AA94" s="218">
        <f>IF(Z94="","",$B94*'AEO 2018_Table 13'!AA$16/'AEO 2018_Table 13'!$C$16)</f>
        <v>52.910252915363685</v>
      </c>
      <c r="AB94" s="218">
        <f>IF(AA94="","",$B94*'AEO 2018_Table 13'!AB$16/'AEO 2018_Table 13'!$C$16)</f>
        <v>53.238658491971066</v>
      </c>
      <c r="AC94" s="218">
        <f>IF(AB94="","",$B94*'AEO 2018_Table 13'!AC$16/'AEO 2018_Table 13'!$C$16)</f>
        <v>53.652884556995012</v>
      </c>
      <c r="AD94" s="218">
        <f>IF(AC94="","",$B94*'AEO 2018_Table 13'!AD$16/'AEO 2018_Table 13'!$C$16)</f>
        <v>54.012910011395341</v>
      </c>
      <c r="AE94" s="218">
        <f>IF(AD94="","",$B94*'AEO 2018_Table 13'!AE$16/'AEO 2018_Table 13'!$C$16)</f>
        <v>54.360823538610063</v>
      </c>
      <c r="AF94" s="218">
        <f>IF(AE94="","",$B94*'AEO 2018_Table 13'!AF$16/'AEO 2018_Table 13'!$C$16)</f>
        <v>54.634057389457205</v>
      </c>
      <c r="AG94" s="218">
        <f>IF(AF94="","",$B94*'AEO 2018_Table 13'!AG$16/'AEO 2018_Table 13'!$C$16)</f>
        <v>55.025644744627392</v>
      </c>
      <c r="AH94" s="218">
        <f>IF(AG94="","",$B94*'AEO 2018_Table 13'!AH$16/'AEO 2018_Table 13'!$C$16)</f>
        <v>55.440815571595643</v>
      </c>
      <c r="AI94" s="218">
        <f>IF(AH94="","",$B94*'AEO 2018_Table 13'!AI$16/'AEO 2018_Table 13'!$C$16)</f>
        <v>55.86812072596296</v>
      </c>
      <c r="AJ94" s="218">
        <f>IF(AI94="","",$B94*'AEO 2018_Table 13'!AJ$16/'AEO 2018_Table 13'!$C$16)</f>
        <v>56.132111194607418</v>
      </c>
      <c r="AK94" s="218">
        <f>IF(AJ94="","",$B94*'AEO 2018_Table 13'!AK$16/'AEO 2018_Table 13'!$C$16)</f>
        <v>56.631678119947892</v>
      </c>
    </row>
    <row r="96" spans="1:37" x14ac:dyDescent="0.25">
      <c r="A96" s="55" t="s">
        <v>1320</v>
      </c>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row>
    <row r="97" spans="1:37" x14ac:dyDescent="0.25">
      <c r="A97" s="172" t="s">
        <v>1168</v>
      </c>
      <c r="B97" s="173">
        <v>2015</v>
      </c>
      <c r="C97" s="173">
        <v>2016</v>
      </c>
      <c r="D97" s="173">
        <v>2017</v>
      </c>
      <c r="E97" s="173">
        <v>2018</v>
      </c>
      <c r="F97" s="173">
        <v>2019</v>
      </c>
      <c r="G97" s="173">
        <v>2020</v>
      </c>
      <c r="H97" s="173">
        <v>2021</v>
      </c>
      <c r="I97" s="173">
        <v>2022</v>
      </c>
      <c r="J97" s="173">
        <v>2023</v>
      </c>
      <c r="K97" s="173">
        <v>2024</v>
      </c>
      <c r="L97" s="173">
        <v>2025</v>
      </c>
      <c r="M97" s="173">
        <v>2026</v>
      </c>
      <c r="N97" s="173">
        <v>2027</v>
      </c>
      <c r="O97" s="173">
        <v>2028</v>
      </c>
      <c r="P97" s="173">
        <v>2029</v>
      </c>
      <c r="Q97" s="173">
        <v>2030</v>
      </c>
      <c r="R97" s="173">
        <v>2031</v>
      </c>
      <c r="S97" s="173">
        <v>2032</v>
      </c>
      <c r="T97" s="173">
        <v>2033</v>
      </c>
      <c r="U97" s="173">
        <v>2034</v>
      </c>
      <c r="V97" s="173">
        <v>2035</v>
      </c>
      <c r="W97" s="173">
        <v>2036</v>
      </c>
      <c r="X97" s="173">
        <v>2037</v>
      </c>
      <c r="Y97" s="173">
        <v>2038</v>
      </c>
      <c r="Z97" s="173">
        <v>2039</v>
      </c>
      <c r="AA97" s="173">
        <v>2040</v>
      </c>
      <c r="AB97" s="173">
        <v>2041</v>
      </c>
      <c r="AC97" s="173">
        <v>2042</v>
      </c>
      <c r="AD97" s="173">
        <v>2043</v>
      </c>
      <c r="AE97" s="173">
        <v>2044</v>
      </c>
      <c r="AF97" s="173">
        <v>2045</v>
      </c>
      <c r="AG97" s="173">
        <v>2046</v>
      </c>
      <c r="AH97" s="173">
        <v>2047</v>
      </c>
      <c r="AI97" s="173">
        <v>2048</v>
      </c>
      <c r="AJ97" s="173">
        <v>2049</v>
      </c>
      <c r="AK97" s="173">
        <v>2050</v>
      </c>
    </row>
    <row r="98" spans="1:37" x14ac:dyDescent="0.25">
      <c r="A98" s="222" t="s">
        <v>1246</v>
      </c>
      <c r="B98" s="222"/>
      <c r="C98" s="222"/>
      <c r="D98" s="222"/>
      <c r="E98" s="222"/>
      <c r="F98" s="222"/>
      <c r="G98" s="222"/>
      <c r="H98" s="222"/>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row>
    <row r="99" spans="1:37" x14ac:dyDescent="0.25">
      <c r="A99" s="208" t="s">
        <v>1098</v>
      </c>
      <c r="B99" s="164">
        <v>1687.5592154238186</v>
      </c>
      <c r="C99" s="164">
        <f>SUM(C103,C105,C111,C114,C115,C116,C119,C120,C122,C124,C123,C125,C126,C127,C129,C133,C138,C140,C141,C143:C145,C147:C149,C151:C153,C155:C157)</f>
        <v>1687.5592154238191</v>
      </c>
      <c r="D99" s="164">
        <f t="shared" ref="D99:AK99" si="14">SUM(D103,D105,D111,D114,D115,D116,D119,D120,D122,D124,D123,D125,D126,D127,D129,D133,D138,D140,D141,D143:D145,D147:D149,D151:D153,D155:D157)</f>
        <v>1523.6238356854831</v>
      </c>
      <c r="E99" s="164">
        <f t="shared" si="14"/>
        <v>1595.2879588057731</v>
      </c>
      <c r="F99" s="164">
        <f t="shared" si="14"/>
        <v>1634.2350525604656</v>
      </c>
      <c r="G99" s="164">
        <f t="shared" si="14"/>
        <v>1639.6222635314866</v>
      </c>
      <c r="H99" s="164">
        <f t="shared" si="14"/>
        <v>1631.3618000721524</v>
      </c>
      <c r="I99" s="164">
        <f t="shared" si="14"/>
        <v>1645.496538835082</v>
      </c>
      <c r="J99" s="164">
        <f t="shared" si="14"/>
        <v>1659.2563504036468</v>
      </c>
      <c r="K99" s="164">
        <f t="shared" si="14"/>
        <v>1671.3094612373566</v>
      </c>
      <c r="L99" s="164">
        <f t="shared" si="14"/>
        <v>1680.3665836609655</v>
      </c>
      <c r="M99" s="164">
        <f t="shared" si="14"/>
        <v>1673.0285114710166</v>
      </c>
      <c r="N99" s="164">
        <f t="shared" si="14"/>
        <v>1680.2826070690908</v>
      </c>
      <c r="O99" s="164">
        <f t="shared" si="14"/>
        <v>1686.5635621613292</v>
      </c>
      <c r="P99" s="164">
        <f t="shared" si="14"/>
        <v>1690.088109120285</v>
      </c>
      <c r="Q99" s="164">
        <f t="shared" si="14"/>
        <v>1685.844821330877</v>
      </c>
      <c r="R99" s="164">
        <f t="shared" si="14"/>
        <v>1686.8105521374305</v>
      </c>
      <c r="S99" s="164">
        <f t="shared" si="14"/>
        <v>1690.853778046197</v>
      </c>
      <c r="T99" s="164">
        <f t="shared" si="14"/>
        <v>1689.7966609484868</v>
      </c>
      <c r="U99" s="164">
        <f t="shared" si="14"/>
        <v>1693.7731995637055</v>
      </c>
      <c r="V99" s="164">
        <f t="shared" si="14"/>
        <v>1698.194320135907</v>
      </c>
      <c r="W99" s="164">
        <f t="shared" si="14"/>
        <v>1706.9427050893905</v>
      </c>
      <c r="X99" s="164">
        <f t="shared" si="14"/>
        <v>1711.1785831795155</v>
      </c>
      <c r="Y99" s="164">
        <f t="shared" si="14"/>
        <v>1714.9822288114649</v>
      </c>
      <c r="Z99" s="164">
        <f t="shared" si="14"/>
        <v>1719.2502155984839</v>
      </c>
      <c r="AA99" s="164">
        <f t="shared" si="14"/>
        <v>1719.7071470542694</v>
      </c>
      <c r="AB99" s="164">
        <f t="shared" si="14"/>
        <v>1723.3749481993634</v>
      </c>
      <c r="AC99" s="164">
        <f t="shared" si="14"/>
        <v>1733.3681626323939</v>
      </c>
      <c r="AD99" s="164">
        <f t="shared" si="14"/>
        <v>1743.0575793948206</v>
      </c>
      <c r="AE99" s="164">
        <f t="shared" si="14"/>
        <v>1746.8587551270091</v>
      </c>
      <c r="AF99" s="164">
        <f t="shared" si="14"/>
        <v>1755.2341852165805</v>
      </c>
      <c r="AG99" s="164">
        <f t="shared" si="14"/>
        <v>1762.5821370055735</v>
      </c>
      <c r="AH99" s="164">
        <f t="shared" si="14"/>
        <v>1765.4324013297746</v>
      </c>
      <c r="AI99" s="164">
        <f t="shared" si="14"/>
        <v>1773.605299638944</v>
      </c>
      <c r="AJ99" s="164">
        <f t="shared" si="14"/>
        <v>1780.2048718003516</v>
      </c>
      <c r="AK99" s="164">
        <f t="shared" si="14"/>
        <v>1790.6426681903633</v>
      </c>
    </row>
    <row r="100" spans="1:37" x14ac:dyDescent="0.25">
      <c r="A100" s="212" t="s">
        <v>1170</v>
      </c>
      <c r="B100" s="182">
        <v>338.20646670000002</v>
      </c>
      <c r="C100" s="182">
        <f>$B$100/$B$99*C99</f>
        <v>338.20646670000008</v>
      </c>
      <c r="D100" s="182">
        <f t="shared" ref="D100:AK100" si="15">$B$100/$B$99*D99</f>
        <v>305.35191259506399</v>
      </c>
      <c r="E100" s="182">
        <f t="shared" si="15"/>
        <v>319.71423520166957</v>
      </c>
      <c r="F100" s="182">
        <f t="shared" si="15"/>
        <v>327.51968513588128</v>
      </c>
      <c r="G100" s="182">
        <f t="shared" si="15"/>
        <v>328.59934478350965</v>
      </c>
      <c r="H100" s="182">
        <f t="shared" si="15"/>
        <v>326.94385196621948</v>
      </c>
      <c r="I100" s="182">
        <f t="shared" si="15"/>
        <v>329.77661778032893</v>
      </c>
      <c r="J100" s="182">
        <f t="shared" si="15"/>
        <v>332.53424383014629</v>
      </c>
      <c r="K100" s="182">
        <f t="shared" si="15"/>
        <v>334.94982723045308</v>
      </c>
      <c r="L100" s="182">
        <f t="shared" si="15"/>
        <v>336.76497975687204</v>
      </c>
      <c r="M100" s="182">
        <f t="shared" si="15"/>
        <v>335.29434486295582</v>
      </c>
      <c r="N100" s="182">
        <f t="shared" si="15"/>
        <v>336.74814987252552</v>
      </c>
      <c r="O100" s="182">
        <f t="shared" si="15"/>
        <v>338.00692622231651</v>
      </c>
      <c r="P100" s="182">
        <f t="shared" si="15"/>
        <v>338.71328636826689</v>
      </c>
      <c r="Q100" s="182">
        <f t="shared" si="15"/>
        <v>337.86288221217535</v>
      </c>
      <c r="R100" s="182">
        <f t="shared" si="15"/>
        <v>338.05642588215898</v>
      </c>
      <c r="S100" s="182">
        <f t="shared" si="15"/>
        <v>338.86673531377818</v>
      </c>
      <c r="T100" s="182">
        <f t="shared" si="15"/>
        <v>338.65487676965301</v>
      </c>
      <c r="U100" s="182">
        <f t="shared" si="15"/>
        <v>339.45182129311462</v>
      </c>
      <c r="V100" s="182">
        <f t="shared" si="15"/>
        <v>340.33786520429283</v>
      </c>
      <c r="W100" s="182">
        <f t="shared" si="15"/>
        <v>342.09114315590892</v>
      </c>
      <c r="X100" s="182">
        <f t="shared" si="15"/>
        <v>342.94006232220516</v>
      </c>
      <c r="Y100" s="182">
        <f t="shared" si="15"/>
        <v>343.70235708377737</v>
      </c>
      <c r="Z100" s="182">
        <f t="shared" si="15"/>
        <v>344.55771120585331</v>
      </c>
      <c r="AA100" s="182">
        <f t="shared" si="15"/>
        <v>344.64928557656151</v>
      </c>
      <c r="AB100" s="182">
        <f t="shared" si="15"/>
        <v>345.38435552522043</v>
      </c>
      <c r="AC100" s="182">
        <f t="shared" si="15"/>
        <v>347.38711176244198</v>
      </c>
      <c r="AD100" s="182">
        <f t="shared" si="15"/>
        <v>349.32898341805736</v>
      </c>
      <c r="AE100" s="182">
        <f t="shared" si="15"/>
        <v>350.09078318303119</v>
      </c>
      <c r="AF100" s="182">
        <f t="shared" si="15"/>
        <v>351.76931664828527</v>
      </c>
      <c r="AG100" s="182">
        <f t="shared" si="15"/>
        <v>353.24193152859516</v>
      </c>
      <c r="AH100" s="182">
        <f t="shared" si="15"/>
        <v>353.81315760317591</v>
      </c>
      <c r="AI100" s="182">
        <f t="shared" si="15"/>
        <v>355.45110134735938</v>
      </c>
      <c r="AJ100" s="182">
        <f t="shared" si="15"/>
        <v>356.77373225834691</v>
      </c>
      <c r="AK100" s="182">
        <f t="shared" si="15"/>
        <v>358.86558788328466</v>
      </c>
    </row>
    <row r="101" spans="1:37" x14ac:dyDescent="0.25">
      <c r="A101" s="254" t="s">
        <v>1172</v>
      </c>
      <c r="B101" s="249">
        <f>B99-B100</f>
        <v>1349.3527487238186</v>
      </c>
      <c r="C101" s="249">
        <f t="shared" ref="C101" si="16">C99-C100</f>
        <v>1349.3527487238189</v>
      </c>
      <c r="D101" s="249">
        <f t="shared" ref="D101:AK101" si="17">D99-D100</f>
        <v>1218.271923090419</v>
      </c>
      <c r="E101" s="249">
        <f t="shared" si="17"/>
        <v>1275.5737236041036</v>
      </c>
      <c r="F101" s="249">
        <f t="shared" si="17"/>
        <v>1306.7153674245844</v>
      </c>
      <c r="G101" s="249">
        <f t="shared" si="17"/>
        <v>1311.022918747977</v>
      </c>
      <c r="H101" s="249">
        <f t="shared" si="17"/>
        <v>1304.417948105933</v>
      </c>
      <c r="I101" s="249">
        <f t="shared" si="17"/>
        <v>1315.7199210547531</v>
      </c>
      <c r="J101" s="249">
        <f t="shared" si="17"/>
        <v>1326.7221065735005</v>
      </c>
      <c r="K101" s="249">
        <f t="shared" si="17"/>
        <v>1336.3596340069034</v>
      </c>
      <c r="L101" s="249">
        <f t="shared" si="17"/>
        <v>1343.6016039040935</v>
      </c>
      <c r="M101" s="249">
        <f t="shared" si="17"/>
        <v>1337.7341666080608</v>
      </c>
      <c r="N101" s="249">
        <f t="shared" si="17"/>
        <v>1343.5344571965652</v>
      </c>
      <c r="O101" s="249">
        <f t="shared" si="17"/>
        <v>1348.5566359390127</v>
      </c>
      <c r="P101" s="249">
        <f t="shared" si="17"/>
        <v>1351.3748227520182</v>
      </c>
      <c r="Q101" s="249">
        <f t="shared" si="17"/>
        <v>1347.9819391187016</v>
      </c>
      <c r="R101" s="249">
        <f t="shared" si="17"/>
        <v>1348.7541262552716</v>
      </c>
      <c r="S101" s="249">
        <f t="shared" si="17"/>
        <v>1351.9870427324188</v>
      </c>
      <c r="T101" s="249">
        <f t="shared" si="17"/>
        <v>1351.1417841788339</v>
      </c>
      <c r="U101" s="249">
        <f t="shared" si="17"/>
        <v>1354.3213782705909</v>
      </c>
      <c r="V101" s="249">
        <f t="shared" si="17"/>
        <v>1357.8564549316143</v>
      </c>
      <c r="W101" s="249">
        <f t="shared" si="17"/>
        <v>1364.8515619334817</v>
      </c>
      <c r="X101" s="249">
        <f t="shared" si="17"/>
        <v>1368.2385208573103</v>
      </c>
      <c r="Y101" s="249">
        <f t="shared" si="17"/>
        <v>1371.2798717276876</v>
      </c>
      <c r="Z101" s="249">
        <f t="shared" si="17"/>
        <v>1374.6925043926306</v>
      </c>
      <c r="AA101" s="249">
        <f t="shared" si="17"/>
        <v>1375.0578614777078</v>
      </c>
      <c r="AB101" s="249">
        <f t="shared" si="17"/>
        <v>1377.990592674143</v>
      </c>
      <c r="AC101" s="249">
        <f t="shared" si="17"/>
        <v>1385.981050869952</v>
      </c>
      <c r="AD101" s="249">
        <f t="shared" si="17"/>
        <v>1393.7285959767632</v>
      </c>
      <c r="AE101" s="249">
        <f t="shared" si="17"/>
        <v>1396.767971943978</v>
      </c>
      <c r="AF101" s="249">
        <f t="shared" si="17"/>
        <v>1403.4648685682953</v>
      </c>
      <c r="AG101" s="249">
        <f t="shared" si="17"/>
        <v>1409.3402054769783</v>
      </c>
      <c r="AH101" s="249">
        <f t="shared" si="17"/>
        <v>1411.6192437265986</v>
      </c>
      <c r="AI101" s="249">
        <f t="shared" si="17"/>
        <v>1418.1541982915846</v>
      </c>
      <c r="AJ101" s="249">
        <f t="shared" si="17"/>
        <v>1423.4311395420048</v>
      </c>
      <c r="AK101" s="249">
        <f t="shared" si="17"/>
        <v>1431.7770803070787</v>
      </c>
    </row>
    <row r="102" spans="1:37" x14ac:dyDescent="0.25">
      <c r="A102" s="219" t="s">
        <v>1247</v>
      </c>
      <c r="B102" s="221"/>
      <c r="C102" s="221" t="str">
        <f>IF(B102="","",$B102*'AEO 2018_Table 13'!C$36/'AEO 2018_Table 13'!$C$36)</f>
        <v/>
      </c>
      <c r="D102" s="221" t="str">
        <f>IF(C102="","",$B102*'AEO 2018_Table 13'!D$36/'AEO 2018_Table 13'!$C$36)</f>
        <v/>
      </c>
      <c r="E102" s="221" t="str">
        <f>IF(D102="","",$B102*'AEO 2018_Table 13'!E$36/'AEO 2018_Table 13'!$C$36)</f>
        <v/>
      </c>
      <c r="F102" s="221" t="str">
        <f>IF(E102="","",$B102*'AEO 2018_Table 13'!F$36/'AEO 2018_Table 13'!$C$36)</f>
        <v/>
      </c>
      <c r="G102" s="221" t="str">
        <f>IF(F102="","",$B102*'AEO 2018_Table 13'!G$36/'AEO 2018_Table 13'!$C$36)</f>
        <v/>
      </c>
      <c r="H102" s="221" t="str">
        <f>IF(G102="","",$B102*'AEO 2018_Table 13'!H$36/'AEO 2018_Table 13'!$C$36)</f>
        <v/>
      </c>
      <c r="I102" s="221" t="str">
        <f>IF(H102="","",$B102*'AEO 2018_Table 13'!I$36/'AEO 2018_Table 13'!$C$36)</f>
        <v/>
      </c>
      <c r="J102" s="221" t="str">
        <f>IF(I102="","",$B102*'AEO 2018_Table 13'!J$36/'AEO 2018_Table 13'!$C$36)</f>
        <v/>
      </c>
      <c r="K102" s="221" t="str">
        <f>IF(J102="","",$B102*'AEO 2018_Table 13'!K$36/'AEO 2018_Table 13'!$C$36)</f>
        <v/>
      </c>
      <c r="L102" s="221" t="str">
        <f>IF(K102="","",$B102*'AEO 2018_Table 13'!L$36/'AEO 2018_Table 13'!$C$36)</f>
        <v/>
      </c>
      <c r="M102" s="221" t="str">
        <f>IF(L102="","",$B102*'AEO 2018_Table 13'!M$36/'AEO 2018_Table 13'!$C$36)</f>
        <v/>
      </c>
      <c r="N102" s="221" t="str">
        <f>IF(M102="","",$B102*'AEO 2018_Table 13'!N$36/'AEO 2018_Table 13'!$C$36)</f>
        <v/>
      </c>
      <c r="O102" s="221" t="str">
        <f>IF(N102="","",$B102*'AEO 2018_Table 13'!O$36/'AEO 2018_Table 13'!$C$36)</f>
        <v/>
      </c>
      <c r="P102" s="221" t="str">
        <f>IF(O102="","",$B102*'AEO 2018_Table 13'!P$36/'AEO 2018_Table 13'!$C$36)</f>
        <v/>
      </c>
      <c r="Q102" s="221" t="str">
        <f>IF(P102="","",$B102*'AEO 2018_Table 13'!Q$36/'AEO 2018_Table 13'!$C$36)</f>
        <v/>
      </c>
      <c r="R102" s="221" t="str">
        <f>IF(Q102="","",$B102*'AEO 2018_Table 13'!R$36/'AEO 2018_Table 13'!$C$36)</f>
        <v/>
      </c>
      <c r="S102" s="221" t="str">
        <f>IF(R102="","",$B102*'AEO 2018_Table 13'!S$36/'AEO 2018_Table 13'!$C$36)</f>
        <v/>
      </c>
      <c r="T102" s="221" t="str">
        <f>IF(S102="","",$B102*'AEO 2018_Table 13'!T$36/'AEO 2018_Table 13'!$C$36)</f>
        <v/>
      </c>
      <c r="U102" s="221" t="str">
        <f>IF(T102="","",$B102*'AEO 2018_Table 13'!U$36/'AEO 2018_Table 13'!$C$36)</f>
        <v/>
      </c>
      <c r="V102" s="221" t="str">
        <f>IF(U102="","",$B102*'AEO 2018_Table 13'!V$36/'AEO 2018_Table 13'!$C$36)</f>
        <v/>
      </c>
      <c r="W102" s="221" t="str">
        <f>IF(V102="","",$B102*'AEO 2018_Table 13'!W$36/'AEO 2018_Table 13'!$C$36)</f>
        <v/>
      </c>
      <c r="X102" s="221" t="str">
        <f>IF(W102="","",$B102*'AEO 2018_Table 13'!X$36/'AEO 2018_Table 13'!$C$36)</f>
        <v/>
      </c>
      <c r="Y102" s="221" t="str">
        <f>IF(X102="","",$B102*'AEO 2018_Table 13'!Y$36/'AEO 2018_Table 13'!$C$36)</f>
        <v/>
      </c>
      <c r="Z102" s="221" t="str">
        <f>IF(Y102="","",$B102*'AEO 2018_Table 13'!Z$36/'AEO 2018_Table 13'!$C$36)</f>
        <v/>
      </c>
      <c r="AA102" s="221" t="str">
        <f>IF(Z102="","",$B102*'AEO 2018_Table 13'!AA$36/'AEO 2018_Table 13'!$C$36)</f>
        <v/>
      </c>
      <c r="AB102" s="221" t="str">
        <f>IF(AA102="","",$B102*'AEO 2018_Table 13'!AB$36/'AEO 2018_Table 13'!$C$36)</f>
        <v/>
      </c>
      <c r="AC102" s="221" t="str">
        <f>IF(AB102="","",$B102*'AEO 2018_Table 13'!AC$36/'AEO 2018_Table 13'!$C$36)</f>
        <v/>
      </c>
      <c r="AD102" s="221" t="str">
        <f>IF(AC102="","",$B102*'AEO 2018_Table 13'!AD$36/'AEO 2018_Table 13'!$C$36)</f>
        <v/>
      </c>
      <c r="AE102" s="221" t="str">
        <f>IF(AD102="","",$B102*'AEO 2018_Table 13'!AE$36/'AEO 2018_Table 13'!$C$36)</f>
        <v/>
      </c>
      <c r="AF102" s="221" t="str">
        <f>IF(AE102="","",$B102*'AEO 2018_Table 13'!AF$36/'AEO 2018_Table 13'!$C$36)</f>
        <v/>
      </c>
      <c r="AG102" s="221" t="str">
        <f>IF(AF102="","",$B102*'AEO 2018_Table 13'!AG$36/'AEO 2018_Table 13'!$C$36)</f>
        <v/>
      </c>
      <c r="AH102" s="221" t="str">
        <f>IF(AG102="","",$B102*'AEO 2018_Table 13'!AH$36/'AEO 2018_Table 13'!$C$36)</f>
        <v/>
      </c>
      <c r="AI102" s="221" t="str">
        <f>IF(AH102="","",$B102*'AEO 2018_Table 13'!AI$36/'AEO 2018_Table 13'!$C$36)</f>
        <v/>
      </c>
      <c r="AJ102" s="221" t="str">
        <f>IF(AI102="","",$B102*'AEO 2018_Table 13'!AJ$36/'AEO 2018_Table 13'!$C$36)</f>
        <v/>
      </c>
      <c r="AK102" s="221" t="str">
        <f>IF(AJ102="","",$B102*'AEO 2018_Table 13'!AK$36/'AEO 2018_Table 13'!$C$36)</f>
        <v/>
      </c>
    </row>
    <row r="103" spans="1:37" x14ac:dyDescent="0.25">
      <c r="A103" s="217" t="s">
        <v>1185</v>
      </c>
      <c r="B103" s="218">
        <v>3.2909398676593224</v>
      </c>
      <c r="C103" s="218">
        <f>IF(B103="","",$B103*'AEO 2018_Table 13'!C$36/'AEO 2018_Table 13'!$C$36)</f>
        <v>3.2909398676593224</v>
      </c>
      <c r="D103" s="218">
        <f>IF(C103="","",$B103*'AEO 2018_Table 13'!D$36/'AEO 2018_Table 13'!$C$36)</f>
        <v>2.9714136347233171</v>
      </c>
      <c r="E103" s="218">
        <f>IF(D103="","",$B103*'AEO 2018_Table 13'!E$36/'AEO 2018_Table 13'!$C$36)</f>
        <v>3.1122467827534299</v>
      </c>
      <c r="F103" s="218">
        <f>IF(E103="","",$B103*'AEO 2018_Table 13'!F$36/'AEO 2018_Table 13'!$C$36)</f>
        <v>3.1888295334273837</v>
      </c>
      <c r="G103" s="218">
        <f>IF(F103="","",$B103*'AEO 2018_Table 13'!G$36/'AEO 2018_Table 13'!$C$36)</f>
        <v>3.1995088472477868</v>
      </c>
      <c r="H103" s="218">
        <f>IF(G103="","",$B103*'AEO 2018_Table 13'!H$36/'AEO 2018_Table 13'!$C$36)</f>
        <v>3.183366262126615</v>
      </c>
      <c r="I103" s="218">
        <f>IF(H103="","",$B103*'AEO 2018_Table 13'!I$36/'AEO 2018_Table 13'!$C$36)</f>
        <v>3.211143142830613</v>
      </c>
      <c r="J103" s="218">
        <f>IF(I103="","",$B103*'AEO 2018_Table 13'!J$36/'AEO 2018_Table 13'!$C$36)</f>
        <v>3.2381492514522483</v>
      </c>
      <c r="K103" s="218">
        <f>IF(J103="","",$B103*'AEO 2018_Table 13'!K$36/'AEO 2018_Table 13'!$C$36)</f>
        <v>3.2618056524706618</v>
      </c>
      <c r="L103" s="218">
        <f>IF(K103="","",$B103*'AEO 2018_Table 13'!L$36/'AEO 2018_Table 13'!$C$36)</f>
        <v>3.2795818865965884</v>
      </c>
      <c r="M103" s="218">
        <f>IF(L103="","",$B103*'AEO 2018_Table 13'!M$36/'AEO 2018_Table 13'!$C$36)</f>
        <v>3.2651795981896816</v>
      </c>
      <c r="N103" s="218">
        <f>IF(M103="","",$B103*'AEO 2018_Table 13'!N$36/'AEO 2018_Table 13'!$C$36)</f>
        <v>3.2794170674091649</v>
      </c>
      <c r="O103" s="218">
        <f>IF(N103="","",$B103*'AEO 2018_Table 13'!O$36/'AEO 2018_Table 13'!$C$36)</f>
        <v>3.2917445731038013</v>
      </c>
      <c r="P103" s="218">
        <f>IF(O103="","",$B103*'AEO 2018_Table 13'!P$36/'AEO 2018_Table 13'!$C$36)</f>
        <v>3.2986621313524238</v>
      </c>
      <c r="Q103" s="218">
        <f>IF(P103="","",$B103*'AEO 2018_Table 13'!Q$36/'AEO 2018_Table 13'!$C$36)</f>
        <v>3.2903339147643842</v>
      </c>
      <c r="R103" s="218">
        <f>IF(Q103="","",$B103*'AEO 2018_Table 13'!R$36/'AEO 2018_Table 13'!$C$36)</f>
        <v>3.2922293354197527</v>
      </c>
      <c r="S103" s="218">
        <f>IF(R103="","",$B103*'AEO 2018_Table 13'!S$36/'AEO 2018_Table 13'!$C$36)</f>
        <v>3.3001648945318727</v>
      </c>
      <c r="T103" s="218">
        <f>IF(S103="","",$B103*'AEO 2018_Table 13'!T$36/'AEO 2018_Table 13'!$C$36)</f>
        <v>3.2980901118196013</v>
      </c>
      <c r="U103" s="218">
        <f>IF(T103="","",$B103*'AEO 2018_Table 13'!U$36/'AEO 2018_Table 13'!$C$36)</f>
        <v>3.3058947851064135</v>
      </c>
      <c r="V103" s="218">
        <f>IF(U103="","",$B103*'AEO 2018_Table 13'!V$36/'AEO 2018_Table 13'!$C$36)</f>
        <v>3.3145720305619388</v>
      </c>
      <c r="W103" s="218">
        <f>IF(V103="","",$B103*'AEO 2018_Table 13'!W$36/'AEO 2018_Table 13'!$C$36)</f>
        <v>3.3317423117929263</v>
      </c>
      <c r="X103" s="218">
        <f>IF(W103="","",$B103*'AEO 2018_Table 13'!X$36/'AEO 2018_Table 13'!$C$36)</f>
        <v>3.340055985511488</v>
      </c>
      <c r="Y103" s="218">
        <f>IF(X103="","",$B103*'AEO 2018_Table 13'!Y$36/'AEO 2018_Table 13'!$C$36)</f>
        <v>3.3475213251771345</v>
      </c>
      <c r="Z103" s="218">
        <f>IF(Y103="","",$B103*'AEO 2018_Table 13'!Z$36/'AEO 2018_Table 13'!$C$36)</f>
        <v>3.3558980179967697</v>
      </c>
      <c r="AA103" s="218">
        <f>IF(Z103="","",$B103*'AEO 2018_Table 13'!AA$36/'AEO 2018_Table 13'!$C$36)</f>
        <v>3.356794828281279</v>
      </c>
      <c r="AB103" s="218">
        <f>IF(AA103="","",$B103*'AEO 2018_Table 13'!AB$36/'AEO 2018_Table 13'!$C$36)</f>
        <v>3.3639935486731525</v>
      </c>
      <c r="AC103" s="218">
        <f>IF(AB103="","",$B103*'AEO 2018_Table 13'!AC$36/'AEO 2018_Table 13'!$C$36)</f>
        <v>3.3836070319765343</v>
      </c>
      <c r="AD103" s="218">
        <f>IF(AC103="","",$B103*'AEO 2018_Table 13'!AD$36/'AEO 2018_Table 13'!$C$36)</f>
        <v>3.4026242576312957</v>
      </c>
      <c r="AE103" s="218">
        <f>IF(AD103="","",$B103*'AEO 2018_Table 13'!AE$36/'AEO 2018_Table 13'!$C$36)</f>
        <v>3.4100847496737829</v>
      </c>
      <c r="AF103" s="218">
        <f>IF(AE103="","",$B103*'AEO 2018_Table 13'!AF$36/'AEO 2018_Table 13'!$C$36)</f>
        <v>3.4265230398076847</v>
      </c>
      <c r="AG103" s="218">
        <f>IF(AF103="","",$B103*'AEO 2018_Table 13'!AG$36/'AEO 2018_Table 13'!$C$36)</f>
        <v>3.4409447187072297</v>
      </c>
      <c r="AH103" s="218">
        <f>IF(AG103="","",$B103*'AEO 2018_Table 13'!AH$36/'AEO 2018_Table 13'!$C$36)</f>
        <v>3.4465388758333058</v>
      </c>
      <c r="AI103" s="218">
        <f>IF(AH103="","",$B103*'AEO 2018_Table 13'!AI$36/'AEO 2018_Table 13'!$C$36)</f>
        <v>3.4625796608681276</v>
      </c>
      <c r="AJ103" s="218">
        <f>IF(AI103="","",$B103*'AEO 2018_Table 13'!AJ$36/'AEO 2018_Table 13'!$C$36)</f>
        <v>3.4755325099503409</v>
      </c>
      <c r="AK103" s="218">
        <f>IF(AJ103="","",$B103*'AEO 2018_Table 13'!AK$36/'AEO 2018_Table 13'!$C$36)</f>
        <v>3.4960185654224341</v>
      </c>
    </row>
    <row r="104" spans="1:37" x14ac:dyDescent="0.25">
      <c r="A104" s="207" t="s">
        <v>1248</v>
      </c>
      <c r="B104" s="191"/>
      <c r="C104" s="191" t="str">
        <f>IF(B104="","",$B104*'AEO 2018_Table 13'!C$36/'AEO 2018_Table 13'!$C$36)</f>
        <v/>
      </c>
      <c r="D104" s="191" t="str">
        <f>IF(C104="","",$B104*'AEO 2018_Table 13'!D$36/'AEO 2018_Table 13'!$C$36)</f>
        <v/>
      </c>
      <c r="E104" s="191" t="str">
        <f>IF(D104="","",$B104*'AEO 2018_Table 13'!E$36/'AEO 2018_Table 13'!$C$36)</f>
        <v/>
      </c>
      <c r="F104" s="191" t="str">
        <f>IF(E104="","",$B104*'AEO 2018_Table 13'!F$36/'AEO 2018_Table 13'!$C$36)</f>
        <v/>
      </c>
      <c r="G104" s="191" t="str">
        <f>IF(F104="","",$B104*'AEO 2018_Table 13'!G$36/'AEO 2018_Table 13'!$C$36)</f>
        <v/>
      </c>
      <c r="H104" s="191" t="str">
        <f>IF(G104="","",$B104*'AEO 2018_Table 13'!H$36/'AEO 2018_Table 13'!$C$36)</f>
        <v/>
      </c>
      <c r="I104" s="191" t="str">
        <f>IF(H104="","",$B104*'AEO 2018_Table 13'!I$36/'AEO 2018_Table 13'!$C$36)</f>
        <v/>
      </c>
      <c r="J104" s="191" t="str">
        <f>IF(I104="","",$B104*'AEO 2018_Table 13'!J$36/'AEO 2018_Table 13'!$C$36)</f>
        <v/>
      </c>
      <c r="K104" s="191" t="str">
        <f>IF(J104="","",$B104*'AEO 2018_Table 13'!K$36/'AEO 2018_Table 13'!$C$36)</f>
        <v/>
      </c>
      <c r="L104" s="191" t="str">
        <f>IF(K104="","",$B104*'AEO 2018_Table 13'!L$36/'AEO 2018_Table 13'!$C$36)</f>
        <v/>
      </c>
      <c r="M104" s="191" t="str">
        <f>IF(L104="","",$B104*'AEO 2018_Table 13'!M$36/'AEO 2018_Table 13'!$C$36)</f>
        <v/>
      </c>
      <c r="N104" s="191" t="str">
        <f>IF(M104="","",$B104*'AEO 2018_Table 13'!N$36/'AEO 2018_Table 13'!$C$36)</f>
        <v/>
      </c>
      <c r="O104" s="191" t="str">
        <f>IF(N104="","",$B104*'AEO 2018_Table 13'!O$36/'AEO 2018_Table 13'!$C$36)</f>
        <v/>
      </c>
      <c r="P104" s="191" t="str">
        <f>IF(O104="","",$B104*'AEO 2018_Table 13'!P$36/'AEO 2018_Table 13'!$C$36)</f>
        <v/>
      </c>
      <c r="Q104" s="191" t="str">
        <f>IF(P104="","",$B104*'AEO 2018_Table 13'!Q$36/'AEO 2018_Table 13'!$C$36)</f>
        <v/>
      </c>
      <c r="R104" s="191" t="str">
        <f>IF(Q104="","",$B104*'AEO 2018_Table 13'!R$36/'AEO 2018_Table 13'!$C$36)</f>
        <v/>
      </c>
      <c r="S104" s="191" t="str">
        <f>IF(R104="","",$B104*'AEO 2018_Table 13'!S$36/'AEO 2018_Table 13'!$C$36)</f>
        <v/>
      </c>
      <c r="T104" s="191" t="str">
        <f>IF(S104="","",$B104*'AEO 2018_Table 13'!T$36/'AEO 2018_Table 13'!$C$36)</f>
        <v/>
      </c>
      <c r="U104" s="191" t="str">
        <f>IF(T104="","",$B104*'AEO 2018_Table 13'!U$36/'AEO 2018_Table 13'!$C$36)</f>
        <v/>
      </c>
      <c r="V104" s="191" t="str">
        <f>IF(U104="","",$B104*'AEO 2018_Table 13'!V$36/'AEO 2018_Table 13'!$C$36)</f>
        <v/>
      </c>
      <c r="W104" s="191" t="str">
        <f>IF(V104="","",$B104*'AEO 2018_Table 13'!W$36/'AEO 2018_Table 13'!$C$36)</f>
        <v/>
      </c>
      <c r="X104" s="191" t="str">
        <f>IF(W104="","",$B104*'AEO 2018_Table 13'!X$36/'AEO 2018_Table 13'!$C$36)</f>
        <v/>
      </c>
      <c r="Y104" s="191" t="str">
        <f>IF(X104="","",$B104*'AEO 2018_Table 13'!Y$36/'AEO 2018_Table 13'!$C$36)</f>
        <v/>
      </c>
      <c r="Z104" s="191" t="str">
        <f>IF(Y104="","",$B104*'AEO 2018_Table 13'!Z$36/'AEO 2018_Table 13'!$C$36)</f>
        <v/>
      </c>
      <c r="AA104" s="191" t="str">
        <f>IF(Z104="","",$B104*'AEO 2018_Table 13'!AA$36/'AEO 2018_Table 13'!$C$36)</f>
        <v/>
      </c>
      <c r="AB104" s="191" t="str">
        <f>IF(AA104="","",$B104*'AEO 2018_Table 13'!AB$36/'AEO 2018_Table 13'!$C$36)</f>
        <v/>
      </c>
      <c r="AC104" s="191" t="str">
        <f>IF(AB104="","",$B104*'AEO 2018_Table 13'!AC$36/'AEO 2018_Table 13'!$C$36)</f>
        <v/>
      </c>
      <c r="AD104" s="191" t="str">
        <f>IF(AC104="","",$B104*'AEO 2018_Table 13'!AD$36/'AEO 2018_Table 13'!$C$36)</f>
        <v/>
      </c>
      <c r="AE104" s="191" t="str">
        <f>IF(AD104="","",$B104*'AEO 2018_Table 13'!AE$36/'AEO 2018_Table 13'!$C$36)</f>
        <v/>
      </c>
      <c r="AF104" s="191" t="str">
        <f>IF(AE104="","",$B104*'AEO 2018_Table 13'!AF$36/'AEO 2018_Table 13'!$C$36)</f>
        <v/>
      </c>
      <c r="AG104" s="191" t="str">
        <f>IF(AF104="","",$B104*'AEO 2018_Table 13'!AG$36/'AEO 2018_Table 13'!$C$36)</f>
        <v/>
      </c>
      <c r="AH104" s="191" t="str">
        <f>IF(AG104="","",$B104*'AEO 2018_Table 13'!AH$36/'AEO 2018_Table 13'!$C$36)</f>
        <v/>
      </c>
      <c r="AI104" s="191" t="str">
        <f>IF(AH104="","",$B104*'AEO 2018_Table 13'!AI$36/'AEO 2018_Table 13'!$C$36)</f>
        <v/>
      </c>
      <c r="AJ104" s="191" t="str">
        <f>IF(AI104="","",$B104*'AEO 2018_Table 13'!AJ$36/'AEO 2018_Table 13'!$C$36)</f>
        <v/>
      </c>
      <c r="AK104" s="191" t="str">
        <f>IF(AJ104="","",$B104*'AEO 2018_Table 13'!AK$36/'AEO 2018_Table 13'!$C$36)</f>
        <v/>
      </c>
    </row>
    <row r="105" spans="1:37" x14ac:dyDescent="0.25">
      <c r="A105" s="213" t="s">
        <v>1249</v>
      </c>
      <c r="B105" s="193">
        <v>572.43708783755665</v>
      </c>
      <c r="C105" s="193">
        <f>IF(B105="","",$B105*'AEO 2018_Table 13'!C$36/'AEO 2018_Table 13'!$C$36)</f>
        <v>572.43708783755665</v>
      </c>
      <c r="D105" s="193">
        <f>IF(C105="","",$B105*'AEO 2018_Table 13'!D$36/'AEO 2018_Table 13'!$C$36)</f>
        <v>516.85762615639101</v>
      </c>
      <c r="E105" s="193">
        <f>IF(D105="","",$B105*'AEO 2018_Table 13'!E$36/'AEO 2018_Table 13'!$C$36)</f>
        <v>541.35461497153233</v>
      </c>
      <c r="F105" s="193">
        <f>IF(E105="","",$B105*'AEO 2018_Table 13'!F$36/'AEO 2018_Table 13'!$C$36)</f>
        <v>554.67567477125704</v>
      </c>
      <c r="G105" s="193">
        <f>IF(F105="","",$B105*'AEO 2018_Table 13'!G$36/'AEO 2018_Table 13'!$C$36)</f>
        <v>556.53327033644211</v>
      </c>
      <c r="H105" s="193">
        <f>IF(G105="","",$B105*'AEO 2018_Table 13'!H$36/'AEO 2018_Table 13'!$C$36)</f>
        <v>553.72537508811422</v>
      </c>
      <c r="I105" s="193">
        <f>IF(H105="","",$B105*'AEO 2018_Table 13'!I$36/'AEO 2018_Table 13'!$C$36)</f>
        <v>558.5569786235252</v>
      </c>
      <c r="J105" s="193">
        <f>IF(I105="","",$B105*'AEO 2018_Table 13'!J$36/'AEO 2018_Table 13'!$C$36)</f>
        <v>563.25451148491697</v>
      </c>
      <c r="K105" s="193">
        <f>IF(J105="","",$B105*'AEO 2018_Table 13'!K$36/'AEO 2018_Table 13'!$C$36)</f>
        <v>567.36938500198596</v>
      </c>
      <c r="L105" s="193">
        <f>IF(K105="","",$B105*'AEO 2018_Table 13'!L$36/'AEO 2018_Table 13'!$C$36)</f>
        <v>570.46144262229177</v>
      </c>
      <c r="M105" s="193">
        <f>IF(L105="","",$B105*'AEO 2018_Table 13'!M$36/'AEO 2018_Table 13'!$C$36)</f>
        <v>567.95626040524019</v>
      </c>
      <c r="N105" s="193">
        <f>IF(M105="","",$B105*'AEO 2018_Table 13'!N$36/'AEO 2018_Table 13'!$C$36)</f>
        <v>570.43277342155807</v>
      </c>
      <c r="O105" s="193">
        <f>IF(N105="","",$B105*'AEO 2018_Table 13'!O$36/'AEO 2018_Table 13'!$C$36)</f>
        <v>572.57706099407994</v>
      </c>
      <c r="P105" s="193">
        <f>IF(O105="","",$B105*'AEO 2018_Table 13'!P$36/'AEO 2018_Table 13'!$C$36)</f>
        <v>573.78032421310809</v>
      </c>
      <c r="Q105" s="193">
        <f>IF(P105="","",$B105*'AEO 2018_Table 13'!Q$36/'AEO 2018_Table 13'!$C$36)</f>
        <v>572.33168636427115</v>
      </c>
      <c r="R105" s="193">
        <f>IF(Q105="","",$B105*'AEO 2018_Table 13'!R$36/'AEO 2018_Table 13'!$C$36)</f>
        <v>572.66138217270839</v>
      </c>
      <c r="S105" s="193">
        <f>IF(R105="","",$B105*'AEO 2018_Table 13'!S$36/'AEO 2018_Table 13'!$C$36)</f>
        <v>574.0417198668564</v>
      </c>
      <c r="T105" s="193">
        <f>IF(S105="","",$B105*'AEO 2018_Table 13'!T$36/'AEO 2018_Table 13'!$C$36)</f>
        <v>573.68082522232646</v>
      </c>
      <c r="U105" s="193">
        <f>IF(T105="","",$B105*'AEO 2018_Table 13'!U$36/'AEO 2018_Table 13'!$C$36)</f>
        <v>575.03839619824475</v>
      </c>
      <c r="V105" s="193">
        <f>IF(U105="","",$B105*'AEO 2018_Table 13'!V$36/'AEO 2018_Table 13'!$C$36)</f>
        <v>576.54774529569431</v>
      </c>
      <c r="W105" s="193">
        <f>IF(V105="","",$B105*'AEO 2018_Table 13'!W$36/'AEO 2018_Table 13'!$C$36)</f>
        <v>579.5344014427144</v>
      </c>
      <c r="X105" s="193">
        <f>IF(W105="","",$B105*'AEO 2018_Table 13'!X$36/'AEO 2018_Table 13'!$C$36)</f>
        <v>580.98050965619257</v>
      </c>
      <c r="Y105" s="193">
        <f>IF(X105="","",$B105*'AEO 2018_Table 13'!Y$36/'AEO 2018_Table 13'!$C$36)</f>
        <v>582.27905580707102</v>
      </c>
      <c r="Z105" s="193">
        <f>IF(Y105="","",$B105*'AEO 2018_Table 13'!Z$36/'AEO 2018_Table 13'!$C$36)</f>
        <v>583.73612577377094</v>
      </c>
      <c r="AA105" s="193">
        <f>IF(Z105="","",$B105*'AEO 2018_Table 13'!AA$36/'AEO 2018_Table 13'!$C$36)</f>
        <v>583.89211995423352</v>
      </c>
      <c r="AB105" s="193">
        <f>IF(AA105="","",$B105*'AEO 2018_Table 13'!AB$36/'AEO 2018_Table 13'!$C$36)</f>
        <v>585.1442894568662</v>
      </c>
      <c r="AC105" s="193">
        <f>IF(AB105="","",$B105*'AEO 2018_Table 13'!AC$36/'AEO 2018_Table 13'!$C$36)</f>
        <v>588.55592434417383</v>
      </c>
      <c r="AD105" s="193">
        <f>IF(AC105="","",$B105*'AEO 2018_Table 13'!AD$36/'AEO 2018_Table 13'!$C$36)</f>
        <v>591.86384418176851</v>
      </c>
      <c r="AE105" s="193">
        <f>IF(AD105="","",$B105*'AEO 2018_Table 13'!AE$36/'AEO 2018_Table 13'!$C$36)</f>
        <v>593.16154712086052</v>
      </c>
      <c r="AF105" s="193">
        <f>IF(AE105="","",$B105*'AEO 2018_Table 13'!AF$36/'AEO 2018_Table 13'!$C$36)</f>
        <v>596.02087828815172</v>
      </c>
      <c r="AG105" s="193">
        <f>IF(AF105="","",$B105*'AEO 2018_Table 13'!AG$36/'AEO 2018_Table 13'!$C$36)</f>
        <v>598.52943335234852</v>
      </c>
      <c r="AH105" s="193">
        <f>IF(AG105="","",$B105*'AEO 2018_Table 13'!AH$36/'AEO 2018_Table 13'!$C$36)</f>
        <v>599.50249975372105</v>
      </c>
      <c r="AI105" s="193">
        <f>IF(AH105="","",$B105*'AEO 2018_Table 13'!AI$36/'AEO 2018_Table 13'!$C$36)</f>
        <v>602.292687554537</v>
      </c>
      <c r="AJ105" s="193">
        <f>IF(AI105="","",$B105*'AEO 2018_Table 13'!AJ$36/'AEO 2018_Table 13'!$C$36)</f>
        <v>604.54574944748947</v>
      </c>
      <c r="AK105" s="193">
        <f>IF(AJ105="","",$B105*'AEO 2018_Table 13'!AK$36/'AEO 2018_Table 13'!$C$36)</f>
        <v>608.10916245632836</v>
      </c>
    </row>
    <row r="106" spans="1:37" x14ac:dyDescent="0.25">
      <c r="A106" s="212" t="s">
        <v>1250</v>
      </c>
      <c r="B106" s="196">
        <v>117.37087999999999</v>
      </c>
      <c r="C106" s="196">
        <f>IF(B106="","",$B106*'AEO 2018_Table 13'!C$36/'AEO 2018_Table 13'!$C$36)</f>
        <v>117.37087999999997</v>
      </c>
      <c r="D106" s="196">
        <f>IF(C106="","",$B106*'AEO 2018_Table 13'!D$36/'AEO 2018_Table 13'!$C$36)</f>
        <v>105.97502451466171</v>
      </c>
      <c r="E106" s="196">
        <f>IF(D106="","",$B106*'AEO 2018_Table 13'!E$36/'AEO 2018_Table 13'!$C$36)</f>
        <v>110.99781775373151</v>
      </c>
      <c r="F106" s="196">
        <f>IF(E106="","",$B106*'AEO 2018_Table 13'!F$36/'AEO 2018_Table 13'!$C$36)</f>
        <v>113.72913014498943</v>
      </c>
      <c r="G106" s="196">
        <f>IF(F106="","",$B106*'AEO 2018_Table 13'!G$36/'AEO 2018_Table 13'!$C$36)</f>
        <v>114.11000628107891</v>
      </c>
      <c r="H106" s="196">
        <f>IF(G106="","",$B106*'AEO 2018_Table 13'!H$36/'AEO 2018_Table 13'!$C$36)</f>
        <v>113.53428338812479</v>
      </c>
      <c r="I106" s="196">
        <f>IF(H106="","",$B106*'AEO 2018_Table 13'!I$36/'AEO 2018_Table 13'!$C$36)</f>
        <v>114.52494169942419</v>
      </c>
      <c r="J106" s="196">
        <f>IF(I106="","",$B106*'AEO 2018_Table 13'!J$36/'AEO 2018_Table 13'!$C$36)</f>
        <v>115.48811053925822</v>
      </c>
      <c r="K106" s="196">
        <f>IF(J106="","",$B106*'AEO 2018_Table 13'!K$36/'AEO 2018_Table 13'!$C$36)</f>
        <v>116.33181255656032</v>
      </c>
      <c r="L106" s="196">
        <f>IF(K106="","",$B106*'AEO 2018_Table 13'!L$36/'AEO 2018_Table 13'!$C$36)</f>
        <v>116.96579929784039</v>
      </c>
      <c r="M106" s="196">
        <f>IF(L106="","",$B106*'AEO 2018_Table 13'!M$36/'AEO 2018_Table 13'!$C$36)</f>
        <v>116.45214382788046</v>
      </c>
      <c r="N106" s="196">
        <f>IF(M106="","",$B106*'AEO 2018_Table 13'!N$36/'AEO 2018_Table 13'!$C$36)</f>
        <v>116.95992104608051</v>
      </c>
      <c r="O106" s="196">
        <f>IF(N106="","",$B106*'AEO 2018_Table 13'!O$36/'AEO 2018_Table 13'!$C$36)</f>
        <v>117.39957969976888</v>
      </c>
      <c r="P106" s="196">
        <f>IF(O106="","",$B106*'AEO 2018_Table 13'!P$36/'AEO 2018_Table 13'!$C$36)</f>
        <v>117.64629338392668</v>
      </c>
      <c r="Q106" s="196">
        <f>IF(P106="","",$B106*'AEO 2018_Table 13'!Q$36/'AEO 2018_Table 13'!$C$36)</f>
        <v>117.34926878029452</v>
      </c>
      <c r="R106" s="196">
        <f>IF(Q106="","",$B106*'AEO 2018_Table 13'!R$36/'AEO 2018_Table 13'!$C$36)</f>
        <v>117.41686867553327</v>
      </c>
      <c r="S106" s="196">
        <f>IF(R106="","",$B106*'AEO 2018_Table 13'!S$36/'AEO 2018_Table 13'!$C$36)</f>
        <v>117.69988920879629</v>
      </c>
      <c r="T106" s="196">
        <f>IF(S106="","",$B106*'AEO 2018_Table 13'!T$36/'AEO 2018_Table 13'!$C$36)</f>
        <v>117.6258923925247</v>
      </c>
      <c r="U106" s="196">
        <f>IF(T106="","",$B106*'AEO 2018_Table 13'!U$36/'AEO 2018_Table 13'!$C$36)</f>
        <v>117.90424490233134</v>
      </c>
      <c r="V106" s="196">
        <f>IF(U106="","",$B106*'AEO 2018_Table 13'!V$36/'AEO 2018_Table 13'!$C$36)</f>
        <v>118.21371756851389</v>
      </c>
      <c r="W106" s="196">
        <f>IF(V106="","",$B106*'AEO 2018_Table 13'!W$36/'AEO 2018_Table 13'!$C$36)</f>
        <v>118.82609309008848</v>
      </c>
      <c r="X106" s="196">
        <f>IF(W106="","",$B106*'AEO 2018_Table 13'!X$36/'AEO 2018_Table 13'!$C$36)</f>
        <v>119.12259902444772</v>
      </c>
      <c r="Y106" s="196">
        <f>IF(X106="","",$B106*'AEO 2018_Table 13'!Y$36/'AEO 2018_Table 13'!$C$36)</f>
        <v>119.38884925121927</v>
      </c>
      <c r="Z106" s="196">
        <f>IF(Y106="","",$B106*'AEO 2018_Table 13'!Z$36/'AEO 2018_Table 13'!$C$36)</f>
        <v>119.68760275242791</v>
      </c>
      <c r="AA106" s="196">
        <f>IF(Z106="","",$B106*'AEO 2018_Table 13'!AA$36/'AEO 2018_Table 13'!$C$36)</f>
        <v>119.71958735759202</v>
      </c>
      <c r="AB106" s="196">
        <f>IF(AA106="","",$B106*'AEO 2018_Table 13'!AB$36/'AEO 2018_Table 13'!$C$36)</f>
        <v>119.97632864769317</v>
      </c>
      <c r="AC106" s="196">
        <f>IF(AB106="","",$B106*'AEO 2018_Table 13'!AC$36/'AEO 2018_Table 13'!$C$36)</f>
        <v>120.67584060712028</v>
      </c>
      <c r="AD106" s="196">
        <f>IF(AC106="","",$B106*'AEO 2018_Table 13'!AD$36/'AEO 2018_Table 13'!$C$36)</f>
        <v>121.3540871263572</v>
      </c>
      <c r="AE106" s="196">
        <f>IF(AD106="","",$B106*'AEO 2018_Table 13'!AE$36/'AEO 2018_Table 13'!$C$36)</f>
        <v>121.62016446337113</v>
      </c>
      <c r="AF106" s="196">
        <f>IF(AE106="","",$B106*'AEO 2018_Table 13'!AF$36/'AEO 2018_Table 13'!$C$36)</f>
        <v>122.2064336315415</v>
      </c>
      <c r="AG106" s="196">
        <f>IF(AF106="","",$B106*'AEO 2018_Table 13'!AG$36/'AEO 2018_Table 13'!$C$36)</f>
        <v>122.72078066053201</v>
      </c>
      <c r="AH106" s="196">
        <f>IF(AG106="","",$B106*'AEO 2018_Table 13'!AH$36/'AEO 2018_Table 13'!$C$36)</f>
        <v>122.92029544085305</v>
      </c>
      <c r="AI106" s="196">
        <f>IF(AH106="","",$B106*'AEO 2018_Table 13'!AI$36/'AEO 2018_Table 13'!$C$36)</f>
        <v>123.49238764889664</v>
      </c>
      <c r="AJ106" s="196">
        <f>IF(AI106="","",$B106*'AEO 2018_Table 13'!AJ$36/'AEO 2018_Table 13'!$C$36)</f>
        <v>123.95434908132106</v>
      </c>
      <c r="AK106" s="196">
        <f>IF(AJ106="","",$B106*'AEO 2018_Table 13'!AK$36/'AEO 2018_Table 13'!$C$36)</f>
        <v>124.68498119712407</v>
      </c>
    </row>
    <row r="107" spans="1:37" x14ac:dyDescent="0.25">
      <c r="A107" s="212" t="s">
        <v>1251</v>
      </c>
      <c r="B107" s="196">
        <v>339.36186918714554</v>
      </c>
      <c r="C107" s="196">
        <f>IF(B107="","",$B107*'AEO 2018_Table 13'!C$36/'AEO 2018_Table 13'!$C$36)</f>
        <v>339.36186918714554</v>
      </c>
      <c r="D107" s="196">
        <f>IF(C107="","",$B107*'AEO 2018_Table 13'!D$36/'AEO 2018_Table 13'!$C$36)</f>
        <v>306.41230947956745</v>
      </c>
      <c r="E107" s="196">
        <f>IF(D107="","",$B107*'AEO 2018_Table 13'!E$36/'AEO 2018_Table 13'!$C$36)</f>
        <v>320.93503012502305</v>
      </c>
      <c r="F107" s="196">
        <f>IF(E107="","",$B107*'AEO 2018_Table 13'!F$36/'AEO 2018_Table 13'!$C$36)</f>
        <v>328.83224686593269</v>
      </c>
      <c r="G107" s="196">
        <f>IF(F107="","",$B107*'AEO 2018_Table 13'!G$36/'AEO 2018_Table 13'!$C$36)</f>
        <v>329.93349819396309</v>
      </c>
      <c r="H107" s="196">
        <f>IF(G107="","",$B107*'AEO 2018_Table 13'!H$36/'AEO 2018_Table 13'!$C$36)</f>
        <v>328.26887408032655</v>
      </c>
      <c r="I107" s="196">
        <f>IF(H107="","",$B107*'AEO 2018_Table 13'!I$36/'AEO 2018_Table 13'!$C$36)</f>
        <v>331.13322728487225</v>
      </c>
      <c r="J107" s="196">
        <f>IF(I107="","",$B107*'AEO 2018_Table 13'!J$36/'AEO 2018_Table 13'!$C$36)</f>
        <v>333.9180984371452</v>
      </c>
      <c r="K107" s="196">
        <f>IF(J107="","",$B107*'AEO 2018_Table 13'!K$36/'AEO 2018_Table 13'!$C$36)</f>
        <v>336.35754758866051</v>
      </c>
      <c r="L107" s="196">
        <f>IF(K107="","",$B107*'AEO 2018_Table 13'!L$36/'AEO 2018_Table 13'!$C$36)</f>
        <v>338.19063366214544</v>
      </c>
      <c r="M107" s="196">
        <f>IF(L107="","",$B107*'AEO 2018_Table 13'!M$36/'AEO 2018_Table 13'!$C$36)</f>
        <v>336.70546902502417</v>
      </c>
      <c r="N107" s="196">
        <f>IF(M107="","",$B107*'AEO 2018_Table 13'!N$36/'AEO 2018_Table 13'!$C$36)</f>
        <v>338.17363750002426</v>
      </c>
      <c r="O107" s="196">
        <f>IF(N107="","",$B107*'AEO 2018_Table 13'!O$36/'AEO 2018_Table 13'!$C$36)</f>
        <v>339.44485044926677</v>
      </c>
      <c r="P107" s="196">
        <f>IF(O107="","",$B107*'AEO 2018_Table 13'!P$36/'AEO 2018_Table 13'!$C$36)</f>
        <v>340.15818937123657</v>
      </c>
      <c r="Q107" s="196">
        <f>IF(P107="","",$B107*'AEO 2018_Table 13'!Q$36/'AEO 2018_Table 13'!$C$36)</f>
        <v>339.29938329699405</v>
      </c>
      <c r="R107" s="196">
        <f>IF(Q107="","",$B107*'AEO 2018_Table 13'!R$36/'AEO 2018_Table 13'!$C$36)</f>
        <v>339.49483916138803</v>
      </c>
      <c r="S107" s="196">
        <f>IF(R107="","",$B107*'AEO 2018_Table 13'!S$36/'AEO 2018_Table 13'!$C$36)</f>
        <v>340.31315437881233</v>
      </c>
      <c r="T107" s="196">
        <f>IF(S107="","",$B107*'AEO 2018_Table 13'!T$36/'AEO 2018_Table 13'!$C$36)</f>
        <v>340.09920269093345</v>
      </c>
      <c r="U107" s="196">
        <f>IF(T107="","",$B107*'AEO 2018_Table 13'!U$36/'AEO 2018_Table 13'!$C$36)</f>
        <v>340.90402095608505</v>
      </c>
      <c r="V107" s="196">
        <f>IF(U107="","",$B107*'AEO 2018_Table 13'!V$36/'AEO 2018_Table 13'!$C$36)</f>
        <v>341.79881890305484</v>
      </c>
      <c r="W107" s="196">
        <f>IF(V107="","",$B107*'AEO 2018_Table 13'!W$36/'AEO 2018_Table 13'!$C$36)</f>
        <v>343.56941908638828</v>
      </c>
      <c r="X107" s="196">
        <f>IF(W107="","",$B107*'AEO 2018_Table 13'!X$36/'AEO 2018_Table 13'!$C$36)</f>
        <v>344.42672549926715</v>
      </c>
      <c r="Y107" s="196">
        <f>IF(X107="","",$B107*'AEO 2018_Table 13'!Y$36/'AEO 2018_Table 13'!$C$36)</f>
        <v>345.19655166593384</v>
      </c>
      <c r="Z107" s="196">
        <f>IF(Y107="","",$B107*'AEO 2018_Table 13'!Z$36/'AEO 2018_Table 13'!$C$36)</f>
        <v>346.0603566113885</v>
      </c>
      <c r="AA107" s="196">
        <f>IF(Z107="","",$B107*'AEO 2018_Table 13'!AA$36/'AEO 2018_Table 13'!$C$36)</f>
        <v>346.15283572881276</v>
      </c>
      <c r="AB107" s="196">
        <f>IF(AA107="","",$B107*'AEO 2018_Table 13'!AB$36/'AEO 2018_Table 13'!$C$36)</f>
        <v>346.89516810381281</v>
      </c>
      <c r="AC107" s="196">
        <f>IF(AB107="","",$B107*'AEO 2018_Table 13'!AC$36/'AEO 2018_Table 13'!$C$36)</f>
        <v>348.91771139623717</v>
      </c>
      <c r="AD107" s="196">
        <f>IF(AC107="","",$B107*'AEO 2018_Table 13'!AD$36/'AEO 2018_Table 13'!$C$36)</f>
        <v>350.87876857275245</v>
      </c>
      <c r="AE107" s="196">
        <f>IF(AD107="","",$B107*'AEO 2018_Table 13'!AE$36/'AEO 2018_Table 13'!$C$36)</f>
        <v>351.64809485229802</v>
      </c>
      <c r="AF107" s="196">
        <f>IF(AE107="","",$B107*'AEO 2018_Table 13'!AF$36/'AEO 2018_Table 13'!$C$36)</f>
        <v>353.34321208032839</v>
      </c>
      <c r="AG107" s="196">
        <f>IF(AF107="","",$B107*'AEO 2018_Table 13'!AG$36/'AEO 2018_Table 13'!$C$36)</f>
        <v>354.8303762659346</v>
      </c>
      <c r="AH107" s="196">
        <f>IF(AG107="","",$B107*'AEO 2018_Table 13'!AH$36/'AEO 2018_Table 13'!$C$36)</f>
        <v>355.40724600381338</v>
      </c>
      <c r="AI107" s="196">
        <f>IF(AH107="","",$B107*'AEO 2018_Table 13'!AI$36/'AEO 2018_Table 13'!$C$36)</f>
        <v>357.06137248790441</v>
      </c>
      <c r="AJ107" s="196">
        <f>IF(AI107="","",$B107*'AEO 2018_Table 13'!AJ$36/'AEO 2018_Table 13'!$C$36)</f>
        <v>358.3970708757833</v>
      </c>
      <c r="AK107" s="196">
        <f>IF(AJ107="","",$B107*'AEO 2018_Table 13'!AK$36/'AEO 2018_Table 13'!$C$36)</f>
        <v>360.50959385002585</v>
      </c>
    </row>
    <row r="108" spans="1:37" x14ac:dyDescent="0.25">
      <c r="A108" s="212" t="s">
        <v>1252</v>
      </c>
      <c r="B108" s="196">
        <v>56.989675661566686</v>
      </c>
      <c r="C108" s="196">
        <f>IF(B108="","",$B108*'AEO 2018_Table 13'!C$36/'AEO 2018_Table 13'!$C$36)</f>
        <v>56.989675661566686</v>
      </c>
      <c r="D108" s="196">
        <f>IF(C108="","",$B108*'AEO 2018_Table 13'!D$36/'AEO 2018_Table 13'!$C$36)</f>
        <v>51.456394254836894</v>
      </c>
      <c r="E108" s="196">
        <f>IF(D108="","",$B108*'AEO 2018_Table 13'!E$36/'AEO 2018_Table 13'!$C$36)</f>
        <v>53.895221991407482</v>
      </c>
      <c r="F108" s="196">
        <f>IF(E108="","",$B108*'AEO 2018_Table 13'!F$36/'AEO 2018_Table 13'!$C$36)</f>
        <v>55.221416421475709</v>
      </c>
      <c r="G108" s="196">
        <f>IF(F108="","",$B108*'AEO 2018_Table 13'!G$36/'AEO 2018_Table 13'!$C$36)</f>
        <v>55.406351623997573</v>
      </c>
      <c r="H108" s="196">
        <f>IF(G108="","",$B108*'AEO 2018_Table 13'!H$36/'AEO 2018_Table 13'!$C$36)</f>
        <v>55.126808172160175</v>
      </c>
      <c r="I108" s="196">
        <f>IF(H108="","",$B108*'AEO 2018_Table 13'!I$36/'AEO 2018_Table 13'!$C$36)</f>
        <v>55.607824382078583</v>
      </c>
      <c r="J108" s="196">
        <f>IF(I108="","",$B108*'AEO 2018_Table 13'!J$36/'AEO 2018_Table 13'!$C$36)</f>
        <v>56.075493021774115</v>
      </c>
      <c r="K108" s="196">
        <f>IF(J108="","",$B108*'AEO 2018_Table 13'!K$36/'AEO 2018_Table 13'!$C$36)</f>
        <v>56.48515429653883</v>
      </c>
      <c r="L108" s="196">
        <f>IF(K108="","",$B108*'AEO 2018_Table 13'!L$36/'AEO 2018_Table 13'!$C$36)</f>
        <v>56.792987881490099</v>
      </c>
      <c r="M108" s="196">
        <f>IF(L108="","",$B108*'AEO 2018_Table 13'!M$36/'AEO 2018_Table 13'!$C$36)</f>
        <v>56.543581396382329</v>
      </c>
      <c r="N108" s="196">
        <f>IF(M108="","",$B108*'AEO 2018_Table 13'!N$36/'AEO 2018_Table 13'!$C$36)</f>
        <v>56.790133684083962</v>
      </c>
      <c r="O108" s="196">
        <f>IF(N108="","",$B108*'AEO 2018_Table 13'!O$36/'AEO 2018_Table 13'!$C$36)</f>
        <v>57.003610860667294</v>
      </c>
      <c r="P108" s="196">
        <f>IF(O108="","",$B108*'AEO 2018_Table 13'!P$36/'AEO 2018_Table 13'!$C$36)</f>
        <v>57.123403204742964</v>
      </c>
      <c r="Q108" s="196">
        <f>IF(P108="","",$B108*'AEO 2018_Table 13'!Q$36/'AEO 2018_Table 13'!$C$36)</f>
        <v>56.979182288749968</v>
      </c>
      <c r="R108" s="196">
        <f>IF(Q108="","",$B108*'AEO 2018_Table 13'!R$36/'AEO 2018_Table 13'!$C$36)</f>
        <v>57.012005558920677</v>
      </c>
      <c r="S108" s="196">
        <f>IF(R108="","",$B108*'AEO 2018_Table 13'!S$36/'AEO 2018_Table 13'!$C$36)</f>
        <v>57.149426769328429</v>
      </c>
      <c r="T108" s="196">
        <f>IF(S108="","",$B108*'AEO 2018_Table 13'!T$36/'AEO 2018_Table 13'!$C$36)</f>
        <v>57.113497460803977</v>
      </c>
      <c r="U108" s="196">
        <f>IF(T108="","",$B108*'AEO 2018_Table 13'!U$36/'AEO 2018_Table 13'!$C$36)</f>
        <v>57.248652102683309</v>
      </c>
      <c r="V108" s="196">
        <f>IF(U108="","",$B108*'AEO 2018_Table 13'!V$36/'AEO 2018_Table 13'!$C$36)</f>
        <v>57.39891720141874</v>
      </c>
      <c r="W108" s="196">
        <f>IF(V108="","",$B108*'AEO 2018_Table 13'!W$36/'AEO 2018_Table 13'!$C$36)</f>
        <v>57.696257413553283</v>
      </c>
      <c r="X108" s="196">
        <f>IF(W108="","",$B108*'AEO 2018_Table 13'!X$36/'AEO 2018_Table 13'!$C$36)</f>
        <v>57.840226488598667</v>
      </c>
      <c r="Y108" s="196">
        <f>IF(X108="","",$B108*'AEO 2018_Table 13'!Y$36/'AEO 2018_Table 13'!$C$36)</f>
        <v>57.969504841700655</v>
      </c>
      <c r="Z108" s="196">
        <f>IF(Y108="","",$B108*'AEO 2018_Table 13'!Z$36/'AEO 2018_Table 13'!$C$36)</f>
        <v>58.114565227518987</v>
      </c>
      <c r="AA108" s="196">
        <f>IF(Z108="","",$B108*'AEO 2018_Table 13'!AA$36/'AEO 2018_Table 13'!$C$36)</f>
        <v>58.130095419287727</v>
      </c>
      <c r="AB108" s="196">
        <f>IF(AA108="","",$B108*'AEO 2018_Table 13'!AB$36/'AEO 2018_Table 13'!$C$36)</f>
        <v>58.254756688350355</v>
      </c>
      <c r="AC108" s="196">
        <f>IF(AB108="","",$B108*'AEO 2018_Table 13'!AC$36/'AEO 2018_Table 13'!$C$36)</f>
        <v>58.594406179681918</v>
      </c>
      <c r="AD108" s="196">
        <f>IF(AC108="","",$B108*'AEO 2018_Table 13'!AD$36/'AEO 2018_Table 13'!$C$36)</f>
        <v>58.923730192161827</v>
      </c>
      <c r="AE108" s="196">
        <f>IF(AD108="","",$B108*'AEO 2018_Table 13'!AE$36/'AEO 2018_Table 13'!$C$36)</f>
        <v>59.052924598281272</v>
      </c>
      <c r="AF108" s="196">
        <f>IF(AE108="","",$B108*'AEO 2018_Table 13'!AF$36/'AEO 2018_Table 13'!$C$36)</f>
        <v>59.337588816053227</v>
      </c>
      <c r="AG108" s="196">
        <f>IF(AF108="","",$B108*'AEO 2018_Table 13'!AG$36/'AEO 2018_Table 13'!$C$36)</f>
        <v>59.587331089091151</v>
      </c>
      <c r="AH108" s="196">
        <f>IF(AG108="","",$B108*'AEO 2018_Table 13'!AH$36/'AEO 2018_Table 13'!$C$36)</f>
        <v>59.684205906935098</v>
      </c>
      <c r="AI108" s="196">
        <f>IF(AH108="","",$B108*'AEO 2018_Table 13'!AI$36/'AEO 2018_Table 13'!$C$36)</f>
        <v>59.961986472139294</v>
      </c>
      <c r="AJ108" s="196">
        <f>IF(AI108="","",$B108*'AEO 2018_Table 13'!AJ$36/'AEO 2018_Table 13'!$C$36)</f>
        <v>60.186292809469471</v>
      </c>
      <c r="AK108" s="196">
        <f>IF(AJ108="","",$B108*'AEO 2018_Table 13'!AK$36/'AEO 2018_Table 13'!$C$36)</f>
        <v>60.541052757657113</v>
      </c>
    </row>
    <row r="109" spans="1:37" x14ac:dyDescent="0.25">
      <c r="A109" s="206" t="s">
        <v>1253</v>
      </c>
      <c r="B109" s="195">
        <v>58.714662988844267</v>
      </c>
      <c r="C109" s="195">
        <f>IF(B109="","",$B109*'AEO 2018_Table 13'!C$36/'AEO 2018_Table 13'!$C$36)</f>
        <v>58.714662988844275</v>
      </c>
      <c r="D109" s="195">
        <f>IF(C109="","",$B109*'AEO 2018_Table 13'!D$36/'AEO 2018_Table 13'!$C$36)</f>
        <v>53.013897907324818</v>
      </c>
      <c r="E109" s="195">
        <f>IF(D109="","",$B109*'AEO 2018_Table 13'!E$36/'AEO 2018_Table 13'!$C$36)</f>
        <v>55.526545101370139</v>
      </c>
      <c r="F109" s="195">
        <f>IF(E109="","",$B109*'AEO 2018_Table 13'!F$36/'AEO 2018_Table 13'!$C$36)</f>
        <v>56.892881338859048</v>
      </c>
      <c r="G109" s="195">
        <f>IF(F109="","",$B109*'AEO 2018_Table 13'!G$36/'AEO 2018_Table 13'!$C$36)</f>
        <v>57.083414237402422</v>
      </c>
      <c r="H109" s="195">
        <f>IF(G109="","",$B109*'AEO 2018_Table 13'!H$36/'AEO 2018_Table 13'!$C$36)</f>
        <v>56.795409447502557</v>
      </c>
      <c r="I109" s="195">
        <f>IF(H109="","",$B109*'AEO 2018_Table 13'!I$36/'AEO 2018_Table 13'!$C$36)</f>
        <v>57.290985257150069</v>
      </c>
      <c r="J109" s="195">
        <f>IF(I109="","",$B109*'AEO 2018_Table 13'!J$36/'AEO 2018_Table 13'!$C$36)</f>
        <v>57.772809486739298</v>
      </c>
      <c r="K109" s="195">
        <f>IF(J109="","",$B109*'AEO 2018_Table 13'!K$36/'AEO 2018_Table 13'!$C$36)</f>
        <v>58.194870560226192</v>
      </c>
      <c r="L109" s="195">
        <f>IF(K109="","",$B109*'AEO 2018_Table 13'!L$36/'AEO 2018_Table 13'!$C$36)</f>
        <v>58.51202178081563</v>
      </c>
      <c r="M109" s="195">
        <f>IF(L109="","",$B109*'AEO 2018_Table 13'!M$36/'AEO 2018_Table 13'!$C$36)</f>
        <v>58.25506615595301</v>
      </c>
      <c r="N109" s="195">
        <f>IF(M109="","",$B109*'AEO 2018_Table 13'!N$36/'AEO 2018_Table 13'!$C$36)</f>
        <v>58.509081191369205</v>
      </c>
      <c r="O109" s="195">
        <f>IF(N109="","",$B109*'AEO 2018_Table 13'!O$36/'AEO 2018_Table 13'!$C$36)</f>
        <v>58.729019984376812</v>
      </c>
      <c r="P109" s="195">
        <f>IF(O109="","",$B109*'AEO 2018_Table 13'!P$36/'AEO 2018_Table 13'!$C$36)</f>
        <v>58.852438253201782</v>
      </c>
      <c r="Q109" s="195">
        <f>IF(P109="","",$B109*'AEO 2018_Table 13'!Q$36/'AEO 2018_Table 13'!$C$36)</f>
        <v>58.703851998232416</v>
      </c>
      <c r="R109" s="195">
        <f>IF(Q109="","",$B109*'AEO 2018_Table 13'!R$36/'AEO 2018_Table 13'!$C$36)</f>
        <v>58.737668776866307</v>
      </c>
      <c r="S109" s="195">
        <f>IF(R109="","",$B109*'AEO 2018_Table 13'!S$36/'AEO 2018_Table 13'!$C$36)</f>
        <v>58.879249509919177</v>
      </c>
      <c r="T109" s="195">
        <f>IF(S109="","",$B109*'AEO 2018_Table 13'!T$36/'AEO 2018_Table 13'!$C$36)</f>
        <v>58.842232678064178</v>
      </c>
      <c r="U109" s="195">
        <f>IF(T109="","",$B109*'AEO 2018_Table 13'!U$36/'AEO 2018_Table 13'!$C$36)</f>
        <v>58.981478237144898</v>
      </c>
      <c r="V109" s="195">
        <f>IF(U109="","",$B109*'AEO 2018_Table 13'!V$36/'AEO 2018_Table 13'!$C$36)</f>
        <v>59.136291622706693</v>
      </c>
      <c r="W109" s="195">
        <f>IF(V109="","",$B109*'AEO 2018_Table 13'!W$36/'AEO 2018_Table 13'!$C$36)</f>
        <v>59.442631852684265</v>
      </c>
      <c r="X109" s="195">
        <f>IF(W109="","",$B109*'AEO 2018_Table 13'!X$36/'AEO 2018_Table 13'!$C$36)</f>
        <v>59.590958643878935</v>
      </c>
      <c r="Y109" s="195">
        <f>IF(X109="","",$B109*'AEO 2018_Table 13'!Y$36/'AEO 2018_Table 13'!$C$36)</f>
        <v>59.72415004821702</v>
      </c>
      <c r="Z109" s="195">
        <f>IF(Y109="","",$B109*'AEO 2018_Table 13'!Z$36/'AEO 2018_Table 13'!$C$36)</f>
        <v>59.873601182435323</v>
      </c>
      <c r="AA109" s="195">
        <f>IF(Z109="","",$B109*'AEO 2018_Table 13'!AA$36/'AEO 2018_Table 13'!$C$36)</f>
        <v>59.889601448540873</v>
      </c>
      <c r="AB109" s="195">
        <f>IF(AA109="","",$B109*'AEO 2018_Table 13'!AB$36/'AEO 2018_Table 13'!$C$36)</f>
        <v>60.018036017009734</v>
      </c>
      <c r="AC109" s="195">
        <f>IF(AB109="","",$B109*'AEO 2018_Table 13'!AC$36/'AEO 2018_Table 13'!$C$36)</f>
        <v>60.367966161134312</v>
      </c>
      <c r="AD109" s="195">
        <f>IF(AC109="","",$B109*'AEO 2018_Table 13'!AD$36/'AEO 2018_Table 13'!$C$36)</f>
        <v>60.707258290496824</v>
      </c>
      <c r="AE109" s="195">
        <f>IF(AD109="","",$B109*'AEO 2018_Table 13'!AE$36/'AEO 2018_Table 13'!$C$36)</f>
        <v>60.84036320691002</v>
      </c>
      <c r="AF109" s="195">
        <f>IF(AE109="","",$B109*'AEO 2018_Table 13'!AF$36/'AEO 2018_Table 13'!$C$36)</f>
        <v>61.133643760228459</v>
      </c>
      <c r="AG109" s="195">
        <f>IF(AF109="","",$B109*'AEO 2018_Table 13'!AG$36/'AEO 2018_Table 13'!$C$36)</f>
        <v>61.390945336790658</v>
      </c>
      <c r="AH109" s="195">
        <f>IF(AG109="","",$B109*'AEO 2018_Table 13'!AH$36/'AEO 2018_Table 13'!$C$36)</f>
        <v>61.49075240211932</v>
      </c>
      <c r="AI109" s="195">
        <f>IF(AH109="","",$B109*'AEO 2018_Table 13'!AI$36/'AEO 2018_Table 13'!$C$36)</f>
        <v>61.776940945596401</v>
      </c>
      <c r="AJ109" s="195">
        <f>IF(AI109="","",$B109*'AEO 2018_Table 13'!AJ$36/'AEO 2018_Table 13'!$C$36)</f>
        <v>62.008036680915446</v>
      </c>
      <c r="AK109" s="195">
        <f>IF(AJ109="","",$B109*'AEO 2018_Table 13'!AK$36/'AEO 2018_Table 13'!$C$36)</f>
        <v>62.373534651521098</v>
      </c>
    </row>
    <row r="110" spans="1:37" x14ac:dyDescent="0.25">
      <c r="A110" s="207" t="s">
        <v>1254</v>
      </c>
      <c r="B110" s="191"/>
      <c r="C110" s="191" t="str">
        <f>IF(B110="","",$B110*'AEO 2018_Table 13'!C$36/'AEO 2018_Table 13'!$C$36)</f>
        <v/>
      </c>
      <c r="D110" s="191" t="str">
        <f>IF(C110="","",$B110*'AEO 2018_Table 13'!D$36/'AEO 2018_Table 13'!$C$36)</f>
        <v/>
      </c>
      <c r="E110" s="191" t="str">
        <f>IF(D110="","",$B110*'AEO 2018_Table 13'!E$36/'AEO 2018_Table 13'!$C$36)</f>
        <v/>
      </c>
      <c r="F110" s="191" t="str">
        <f>IF(E110="","",$B110*'AEO 2018_Table 13'!F$36/'AEO 2018_Table 13'!$C$36)</f>
        <v/>
      </c>
      <c r="G110" s="191" t="str">
        <f>IF(F110="","",$B110*'AEO 2018_Table 13'!G$36/'AEO 2018_Table 13'!$C$36)</f>
        <v/>
      </c>
      <c r="H110" s="191" t="str">
        <f>IF(G110="","",$B110*'AEO 2018_Table 13'!H$36/'AEO 2018_Table 13'!$C$36)</f>
        <v/>
      </c>
      <c r="I110" s="191" t="str">
        <f>IF(H110="","",$B110*'AEO 2018_Table 13'!I$36/'AEO 2018_Table 13'!$C$36)</f>
        <v/>
      </c>
      <c r="J110" s="191" t="str">
        <f>IF(I110="","",$B110*'AEO 2018_Table 13'!J$36/'AEO 2018_Table 13'!$C$36)</f>
        <v/>
      </c>
      <c r="K110" s="191" t="str">
        <f>IF(J110="","",$B110*'AEO 2018_Table 13'!K$36/'AEO 2018_Table 13'!$C$36)</f>
        <v/>
      </c>
      <c r="L110" s="191" t="str">
        <f>IF(K110="","",$B110*'AEO 2018_Table 13'!L$36/'AEO 2018_Table 13'!$C$36)</f>
        <v/>
      </c>
      <c r="M110" s="191" t="str">
        <f>IF(L110="","",$B110*'AEO 2018_Table 13'!M$36/'AEO 2018_Table 13'!$C$36)</f>
        <v/>
      </c>
      <c r="N110" s="191" t="str">
        <f>IF(M110="","",$B110*'AEO 2018_Table 13'!N$36/'AEO 2018_Table 13'!$C$36)</f>
        <v/>
      </c>
      <c r="O110" s="191" t="str">
        <f>IF(N110="","",$B110*'AEO 2018_Table 13'!O$36/'AEO 2018_Table 13'!$C$36)</f>
        <v/>
      </c>
      <c r="P110" s="191" t="str">
        <f>IF(O110="","",$B110*'AEO 2018_Table 13'!P$36/'AEO 2018_Table 13'!$C$36)</f>
        <v/>
      </c>
      <c r="Q110" s="191" t="str">
        <f>IF(P110="","",$B110*'AEO 2018_Table 13'!Q$36/'AEO 2018_Table 13'!$C$36)</f>
        <v/>
      </c>
      <c r="R110" s="191" t="str">
        <f>IF(Q110="","",$B110*'AEO 2018_Table 13'!R$36/'AEO 2018_Table 13'!$C$36)</f>
        <v/>
      </c>
      <c r="S110" s="191" t="str">
        <f>IF(R110="","",$B110*'AEO 2018_Table 13'!S$36/'AEO 2018_Table 13'!$C$36)</f>
        <v/>
      </c>
      <c r="T110" s="191" t="str">
        <f>IF(S110="","",$B110*'AEO 2018_Table 13'!T$36/'AEO 2018_Table 13'!$C$36)</f>
        <v/>
      </c>
      <c r="U110" s="191" t="str">
        <f>IF(T110="","",$B110*'AEO 2018_Table 13'!U$36/'AEO 2018_Table 13'!$C$36)</f>
        <v/>
      </c>
      <c r="V110" s="191" t="str">
        <f>IF(U110="","",$B110*'AEO 2018_Table 13'!V$36/'AEO 2018_Table 13'!$C$36)</f>
        <v/>
      </c>
      <c r="W110" s="191" t="str">
        <f>IF(V110="","",$B110*'AEO 2018_Table 13'!W$36/'AEO 2018_Table 13'!$C$36)</f>
        <v/>
      </c>
      <c r="X110" s="191" t="str">
        <f>IF(W110="","",$B110*'AEO 2018_Table 13'!X$36/'AEO 2018_Table 13'!$C$36)</f>
        <v/>
      </c>
      <c r="Y110" s="191" t="str">
        <f>IF(X110="","",$B110*'AEO 2018_Table 13'!Y$36/'AEO 2018_Table 13'!$C$36)</f>
        <v/>
      </c>
      <c r="Z110" s="191" t="str">
        <f>IF(Y110="","",$B110*'AEO 2018_Table 13'!Z$36/'AEO 2018_Table 13'!$C$36)</f>
        <v/>
      </c>
      <c r="AA110" s="191" t="str">
        <f>IF(Z110="","",$B110*'AEO 2018_Table 13'!AA$36/'AEO 2018_Table 13'!$C$36)</f>
        <v/>
      </c>
      <c r="AB110" s="191" t="str">
        <f>IF(AA110="","",$B110*'AEO 2018_Table 13'!AB$36/'AEO 2018_Table 13'!$C$36)</f>
        <v/>
      </c>
      <c r="AC110" s="191" t="str">
        <f>IF(AB110="","",$B110*'AEO 2018_Table 13'!AC$36/'AEO 2018_Table 13'!$C$36)</f>
        <v/>
      </c>
      <c r="AD110" s="191" t="str">
        <f>IF(AC110="","",$B110*'AEO 2018_Table 13'!AD$36/'AEO 2018_Table 13'!$C$36)</f>
        <v/>
      </c>
      <c r="AE110" s="191" t="str">
        <f>IF(AD110="","",$B110*'AEO 2018_Table 13'!AE$36/'AEO 2018_Table 13'!$C$36)</f>
        <v/>
      </c>
      <c r="AF110" s="191" t="str">
        <f>IF(AE110="","",$B110*'AEO 2018_Table 13'!AF$36/'AEO 2018_Table 13'!$C$36)</f>
        <v/>
      </c>
      <c r="AG110" s="191" t="str">
        <f>IF(AF110="","",$B110*'AEO 2018_Table 13'!AG$36/'AEO 2018_Table 13'!$C$36)</f>
        <v/>
      </c>
      <c r="AH110" s="191" t="str">
        <f>IF(AG110="","",$B110*'AEO 2018_Table 13'!AH$36/'AEO 2018_Table 13'!$C$36)</f>
        <v/>
      </c>
      <c r="AI110" s="191" t="str">
        <f>IF(AH110="","",$B110*'AEO 2018_Table 13'!AI$36/'AEO 2018_Table 13'!$C$36)</f>
        <v/>
      </c>
      <c r="AJ110" s="191" t="str">
        <f>IF(AI110="","",$B110*'AEO 2018_Table 13'!AJ$36/'AEO 2018_Table 13'!$C$36)</f>
        <v/>
      </c>
      <c r="AK110" s="191" t="str">
        <f>IF(AJ110="","",$B110*'AEO 2018_Table 13'!AK$36/'AEO 2018_Table 13'!$C$36)</f>
        <v/>
      </c>
    </row>
    <row r="111" spans="1:37" x14ac:dyDescent="0.25">
      <c r="A111" s="213" t="s">
        <v>1249</v>
      </c>
      <c r="B111" s="193">
        <v>129.01490211055275</v>
      </c>
      <c r="C111" s="193">
        <f>IF(B111="","",$B111*'AEO 2018_Table 13'!C$36/'AEO 2018_Table 13'!$C$36)</f>
        <v>129.01490211055275</v>
      </c>
      <c r="D111" s="193">
        <f>IF(C111="","",$B111*'AEO 2018_Table 13'!D$36/'AEO 2018_Table 13'!$C$36)</f>
        <v>116.48849709504191</v>
      </c>
      <c r="E111" s="193">
        <f>IF(D111="","",$B111*'AEO 2018_Table 13'!E$36/'AEO 2018_Table 13'!$C$36)</f>
        <v>122.00958697747389</v>
      </c>
      <c r="F111" s="193">
        <f>IF(E111="","",$B111*'AEO 2018_Table 13'!F$36/'AEO 2018_Table 13'!$C$36)</f>
        <v>125.01186489165055</v>
      </c>
      <c r="G111" s="193">
        <f>IF(F111="","",$B111*'AEO 2018_Table 13'!G$36/'AEO 2018_Table 13'!$C$36)</f>
        <v>125.43052663648731</v>
      </c>
      <c r="H111" s="193">
        <f>IF(G111="","",$B111*'AEO 2018_Table 13'!H$36/'AEO 2018_Table 13'!$C$36)</f>
        <v>124.79768795727422</v>
      </c>
      <c r="I111" s="193">
        <f>IF(H111="","",$B111*'AEO 2018_Table 13'!I$36/'AEO 2018_Table 13'!$C$36)</f>
        <v>125.88662658546971</v>
      </c>
      <c r="J111" s="193">
        <f>IF(I111="","",$B111*'AEO 2018_Table 13'!J$36/'AEO 2018_Table 13'!$C$36)</f>
        <v>126.94534859204511</v>
      </c>
      <c r="K111" s="193">
        <f>IF(J111="","",$B111*'AEO 2018_Table 13'!K$36/'AEO 2018_Table 13'!$C$36)</f>
        <v>127.87275182164267</v>
      </c>
      <c r="L111" s="193">
        <f>IF(K111="","",$B111*'AEO 2018_Table 13'!L$36/'AEO 2018_Table 13'!$C$36)</f>
        <v>128.56963453535869</v>
      </c>
      <c r="M111" s="193">
        <f>IF(L111="","",$B111*'AEO 2018_Table 13'!M$36/'AEO 2018_Table 13'!$C$36)</f>
        <v>128.00502080684757</v>
      </c>
      <c r="N111" s="193">
        <f>IF(M111="","",$B111*'AEO 2018_Table 13'!N$36/'AEO 2018_Table 13'!$C$36)</f>
        <v>128.56317311941476</v>
      </c>
      <c r="O111" s="193">
        <f>IF(N111="","",$B111*'AEO 2018_Table 13'!O$36/'AEO 2018_Table 13'!$C$36)</f>
        <v>129.04644902369071</v>
      </c>
      <c r="P111" s="193">
        <f>IF(O111="","",$B111*'AEO 2018_Table 13'!P$36/'AEO 2018_Table 13'!$C$36)</f>
        <v>129.31763845168982</v>
      </c>
      <c r="Q111" s="193">
        <f>IF(P111="","",$B111*'AEO 2018_Table 13'!Q$36/'AEO 2018_Table 13'!$C$36)</f>
        <v>128.99114690487662</v>
      </c>
      <c r="R111" s="193">
        <f>IF(Q111="","",$B111*'AEO 2018_Table 13'!R$36/'AEO 2018_Table 13'!$C$36)</f>
        <v>129.06545318823166</v>
      </c>
      <c r="S111" s="193">
        <f>IF(R111="","",$B111*'AEO 2018_Table 13'!S$36/'AEO 2018_Table 13'!$C$36)</f>
        <v>129.37655136176673</v>
      </c>
      <c r="T111" s="193">
        <f>IF(S111="","",$B111*'AEO 2018_Table 13'!T$36/'AEO 2018_Table 13'!$C$36)</f>
        <v>129.29521353753151</v>
      </c>
      <c r="U111" s="193">
        <f>IF(T111="","",$B111*'AEO 2018_Table 13'!U$36/'AEO 2018_Table 13'!$C$36)</f>
        <v>129.60118058664057</v>
      </c>
      <c r="V111" s="193">
        <f>IF(U111="","",$B111*'AEO 2018_Table 13'!V$36/'AEO 2018_Table 13'!$C$36)</f>
        <v>129.94135513192327</v>
      </c>
      <c r="W111" s="193">
        <f>IF(V111="","",$B111*'AEO 2018_Table 13'!W$36/'AEO 2018_Table 13'!$C$36)</f>
        <v>130.61448263996311</v>
      </c>
      <c r="X111" s="193">
        <f>IF(W111="","",$B111*'AEO 2018_Table 13'!X$36/'AEO 2018_Table 13'!$C$36)</f>
        <v>130.94040406184013</v>
      </c>
      <c r="Y111" s="193">
        <f>IF(X111="","",$B111*'AEO 2018_Table 13'!Y$36/'AEO 2018_Table 13'!$C$36)</f>
        <v>131.23306819577053</v>
      </c>
      <c r="Z111" s="193">
        <f>IF(Y111="","",$B111*'AEO 2018_Table 13'!Z$36/'AEO 2018_Table 13'!$C$36)</f>
        <v>131.56146015903786</v>
      </c>
      <c r="AA111" s="193">
        <f>IF(Z111="","",$B111*'AEO 2018_Table 13'!AA$36/'AEO 2018_Table 13'!$C$36)</f>
        <v>131.59661786343858</v>
      </c>
      <c r="AB111" s="193">
        <f>IF(AA111="","",$B111*'AEO 2018_Table 13'!AB$36/'AEO 2018_Table 13'!$C$36)</f>
        <v>131.87882970687141</v>
      </c>
      <c r="AC111" s="193">
        <f>IF(AB111="","",$B111*'AEO 2018_Table 13'!AC$36/'AEO 2018_Table 13'!$C$36)</f>
        <v>132.64773820419759</v>
      </c>
      <c r="AD111" s="193">
        <f>IF(AC111="","",$B111*'AEO 2018_Table 13'!AD$36/'AEO 2018_Table 13'!$C$36)</f>
        <v>133.39327157913843</v>
      </c>
      <c r="AE111" s="193">
        <f>IF(AD111="","",$B111*'AEO 2018_Table 13'!AE$36/'AEO 2018_Table 13'!$C$36)</f>
        <v>133.68574567142338</v>
      </c>
      <c r="AF111" s="193">
        <f>IF(AE111="","",$B111*'AEO 2018_Table 13'!AF$36/'AEO 2018_Table 13'!$C$36)</f>
        <v>134.33017689100643</v>
      </c>
      <c r="AG111" s="193">
        <f>IF(AF111="","",$B111*'AEO 2018_Table 13'!AG$36/'AEO 2018_Table 13'!$C$36)</f>
        <v>134.89555078609922</v>
      </c>
      <c r="AH111" s="193">
        <f>IF(AG111="","",$B111*'AEO 2018_Table 13'!AH$36/'AEO 2018_Table 13'!$C$36)</f>
        <v>135.11485884490156</v>
      </c>
      <c r="AI111" s="193">
        <f>IF(AH111="","",$B111*'AEO 2018_Table 13'!AI$36/'AEO 2018_Table 13'!$C$36)</f>
        <v>135.74370664956109</v>
      </c>
      <c r="AJ111" s="193">
        <f>IF(AI111="","",$B111*'AEO 2018_Table 13'!AJ$36/'AEO 2018_Table 13'!$C$36)</f>
        <v>136.25149792609483</v>
      </c>
      <c r="AK111" s="193">
        <f>IF(AJ111="","",$B111*'AEO 2018_Table 13'!AK$36/'AEO 2018_Table 13'!$C$36)</f>
        <v>137.05461391959466</v>
      </c>
    </row>
    <row r="112" spans="1:37" x14ac:dyDescent="0.25">
      <c r="A112" s="212" t="s">
        <v>1250</v>
      </c>
      <c r="B112" s="196">
        <v>24.770479999999999</v>
      </c>
      <c r="C112" s="196">
        <f>IF(B112="","",$B112*'AEO 2018_Table 13'!C$36/'AEO 2018_Table 13'!$C$36)</f>
        <v>24.770479999999999</v>
      </c>
      <c r="D112" s="196">
        <f>IF(C112="","",$B112*'AEO 2018_Table 13'!D$36/'AEO 2018_Table 13'!$C$36)</f>
        <v>22.365447249266069</v>
      </c>
      <c r="E112" s="196">
        <f>IF(D112="","",$B112*'AEO 2018_Table 13'!E$36/'AEO 2018_Table 13'!$C$36)</f>
        <v>23.425480193319263</v>
      </c>
      <c r="F112" s="196">
        <f>IF(E112="","",$B112*'AEO 2018_Table 13'!F$36/'AEO 2018_Table 13'!$C$36)</f>
        <v>24.001908681896722</v>
      </c>
      <c r="G112" s="196">
        <f>IF(F112="","",$B112*'AEO 2018_Table 13'!G$36/'AEO 2018_Table 13'!$C$36)</f>
        <v>24.082290499869639</v>
      </c>
      <c r="H112" s="196">
        <f>IF(G112="","",$B112*'AEO 2018_Table 13'!H$36/'AEO 2018_Table 13'!$C$36)</f>
        <v>23.960787343333184</v>
      </c>
      <c r="I112" s="196">
        <f>IF(H112="","",$B112*'AEO 2018_Table 13'!I$36/'AEO 2018_Table 13'!$C$36)</f>
        <v>24.169860342418435</v>
      </c>
      <c r="J112" s="196">
        <f>IF(I112="","",$B112*'AEO 2018_Table 13'!J$36/'AEO 2018_Table 13'!$C$36)</f>
        <v>24.373131839434834</v>
      </c>
      <c r="K112" s="196">
        <f>IF(J112="","",$B112*'AEO 2018_Table 13'!K$36/'AEO 2018_Table 13'!$C$36)</f>
        <v>24.551190519284052</v>
      </c>
      <c r="L112" s="196">
        <f>IF(K112="","",$B112*'AEO 2018_Table 13'!L$36/'AEO 2018_Table 13'!$C$36)</f>
        <v>24.684989941211736</v>
      </c>
      <c r="M112" s="196">
        <f>IF(L112="","",$B112*'AEO 2018_Table 13'!M$36/'AEO 2018_Table 13'!$C$36)</f>
        <v>24.576585773623204</v>
      </c>
      <c r="N112" s="196">
        <f>IF(M112="","",$B112*'AEO 2018_Table 13'!N$36/'AEO 2018_Table 13'!$C$36)</f>
        <v>24.683749368442292</v>
      </c>
      <c r="O112" s="196">
        <f>IF(N112="","",$B112*'AEO 2018_Table 13'!O$36/'AEO 2018_Table 13'!$C$36)</f>
        <v>24.776536914109624</v>
      </c>
      <c r="P112" s="196">
        <f>IF(O112="","",$B112*'AEO 2018_Table 13'!P$36/'AEO 2018_Table 13'!$C$36)</f>
        <v>24.828604482991764</v>
      </c>
      <c r="Q112" s="196">
        <f>IF(P112="","",$B112*'AEO 2018_Table 13'!Q$36/'AEO 2018_Table 13'!$C$36)</f>
        <v>24.765919070700583</v>
      </c>
      <c r="R112" s="196">
        <f>IF(Q112="","",$B112*'AEO 2018_Table 13'!R$36/'AEO 2018_Table 13'!$C$36)</f>
        <v>24.780185657549161</v>
      </c>
      <c r="S112" s="196">
        <f>IF(R112="","",$B112*'AEO 2018_Table 13'!S$36/'AEO 2018_Table 13'!$C$36)</f>
        <v>24.839915587654318</v>
      </c>
      <c r="T112" s="196">
        <f>IF(S112="","",$B112*'AEO 2018_Table 13'!T$36/'AEO 2018_Table 13'!$C$36)</f>
        <v>24.824298965733117</v>
      </c>
      <c r="U112" s="196">
        <f>IF(T112="","",$B112*'AEO 2018_Table 13'!U$36/'AEO 2018_Table 13'!$C$36)</f>
        <v>24.883043735109602</v>
      </c>
      <c r="V112" s="196">
        <f>IF(U112="","",$B112*'AEO 2018_Table 13'!V$36/'AEO 2018_Table 13'!$C$36)</f>
        <v>24.948356242677246</v>
      </c>
      <c r="W112" s="196">
        <f>IF(V112="","",$B112*'AEO 2018_Table 13'!W$36/'AEO 2018_Table 13'!$C$36)</f>
        <v>25.077594735305514</v>
      </c>
      <c r="X112" s="196">
        <f>IF(W112="","",$B112*'AEO 2018_Table 13'!X$36/'AEO 2018_Table 13'!$C$36)</f>
        <v>25.140170685293505</v>
      </c>
      <c r="Y112" s="196">
        <f>IF(X112="","",$B112*'AEO 2018_Table 13'!Y$36/'AEO 2018_Table 13'!$C$36)</f>
        <v>25.196361334262317</v>
      </c>
      <c r="Z112" s="196">
        <f>IF(Y112="","",$B112*'AEO 2018_Table 13'!Z$36/'AEO 2018_Table 13'!$C$36)</f>
        <v>25.259411620897456</v>
      </c>
      <c r="AA112" s="196">
        <f>IF(Z112="","",$B112*'AEO 2018_Table 13'!AA$36/'AEO 2018_Table 13'!$C$36)</f>
        <v>25.266161796260594</v>
      </c>
      <c r="AB112" s="196">
        <f>IF(AA112="","",$B112*'AEO 2018_Table 13'!AB$36/'AEO 2018_Table 13'!$C$36)</f>
        <v>25.320345636337656</v>
      </c>
      <c r="AC112" s="196">
        <f>IF(AB112="","",$B112*'AEO 2018_Table 13'!AC$36/'AEO 2018_Table 13'!$C$36)</f>
        <v>25.467973795901173</v>
      </c>
      <c r="AD112" s="196">
        <f>IF(AC112="","",$B112*'AEO 2018_Table 13'!AD$36/'AEO 2018_Table 13'!$C$36)</f>
        <v>25.611114001034061</v>
      </c>
      <c r="AE112" s="196">
        <f>IF(AD112="","",$B112*'AEO 2018_Table 13'!AE$36/'AEO 2018_Table 13'!$C$36)</f>
        <v>25.667268162568483</v>
      </c>
      <c r="AF112" s="196">
        <f>IF(AE112="","",$B112*'AEO 2018_Table 13'!AF$36/'AEO 2018_Table 13'!$C$36)</f>
        <v>25.79099705260305</v>
      </c>
      <c r="AG112" s="196">
        <f>IF(AF112="","",$B112*'AEO 2018_Table 13'!AG$36/'AEO 2018_Table 13'!$C$36)</f>
        <v>25.899547169929164</v>
      </c>
      <c r="AH112" s="196">
        <f>IF(AG112="","",$B112*'AEO 2018_Table 13'!AH$36/'AEO 2018_Table 13'!$C$36)</f>
        <v>25.941653669221377</v>
      </c>
      <c r="AI112" s="196">
        <f>IF(AH112="","",$B112*'AEO 2018_Table 13'!AI$36/'AEO 2018_Table 13'!$C$36)</f>
        <v>26.062390589635534</v>
      </c>
      <c r="AJ112" s="196">
        <f>IF(AI112="","",$B112*'AEO 2018_Table 13'!AJ$36/'AEO 2018_Table 13'!$C$36)</f>
        <v>26.15988501433986</v>
      </c>
      <c r="AK112" s="196">
        <f>IF(AJ112="","",$B112*'AEO 2018_Table 13'!AK$36/'AEO 2018_Table 13'!$C$36)</f>
        <v>26.314080912094532</v>
      </c>
    </row>
    <row r="113" spans="1:37" x14ac:dyDescent="0.25">
      <c r="A113" s="212" t="s">
        <v>1251</v>
      </c>
      <c r="B113" s="196">
        <v>104.24442211055273</v>
      </c>
      <c r="C113" s="196">
        <f>IF(B113="","",$B113*'AEO 2018_Table 13'!C$36/'AEO 2018_Table 13'!$C$36)</f>
        <v>104.24442211055273</v>
      </c>
      <c r="D113" s="196">
        <f>IF(C113="","",$B113*'AEO 2018_Table 13'!D$36/'AEO 2018_Table 13'!$C$36)</f>
        <v>94.12304984577581</v>
      </c>
      <c r="E113" s="196">
        <f>IF(D113="","",$B113*'AEO 2018_Table 13'!E$36/'AEO 2018_Table 13'!$C$36)</f>
        <v>98.584106784154585</v>
      </c>
      <c r="F113" s="196">
        <f>IF(E113="","",$B113*'AEO 2018_Table 13'!F$36/'AEO 2018_Table 13'!$C$36)</f>
        <v>101.00995620975381</v>
      </c>
      <c r="G113" s="196">
        <f>IF(F113="","",$B113*'AEO 2018_Table 13'!G$36/'AEO 2018_Table 13'!$C$36)</f>
        <v>101.34823613661764</v>
      </c>
      <c r="H113" s="196">
        <f>IF(G113="","",$B113*'AEO 2018_Table 13'!H$36/'AEO 2018_Table 13'!$C$36)</f>
        <v>100.83690061394101</v>
      </c>
      <c r="I113" s="196">
        <f>IF(H113="","",$B113*'AEO 2018_Table 13'!I$36/'AEO 2018_Table 13'!$C$36)</f>
        <v>101.71676624305124</v>
      </c>
      <c r="J113" s="196">
        <f>IF(I113="","",$B113*'AEO 2018_Table 13'!J$36/'AEO 2018_Table 13'!$C$36)</f>
        <v>102.57221675261025</v>
      </c>
      <c r="K113" s="196">
        <f>IF(J113="","",$B113*'AEO 2018_Table 13'!K$36/'AEO 2018_Table 13'!$C$36)</f>
        <v>103.32156130235857</v>
      </c>
      <c r="L113" s="196">
        <f>IF(K113="","",$B113*'AEO 2018_Table 13'!L$36/'AEO 2018_Table 13'!$C$36)</f>
        <v>103.88464459414692</v>
      </c>
      <c r="M113" s="196">
        <f>IF(L113="","",$B113*'AEO 2018_Table 13'!M$36/'AEO 2018_Table 13'!$C$36)</f>
        <v>103.42843503322433</v>
      </c>
      <c r="N113" s="196">
        <f>IF(M113="","",$B113*'AEO 2018_Table 13'!N$36/'AEO 2018_Table 13'!$C$36)</f>
        <v>103.87942375097245</v>
      </c>
      <c r="O113" s="196">
        <f>IF(N113="","",$B113*'AEO 2018_Table 13'!O$36/'AEO 2018_Table 13'!$C$36)</f>
        <v>104.26991210958106</v>
      </c>
      <c r="P113" s="196">
        <f>IF(O113="","",$B113*'AEO 2018_Table 13'!P$36/'AEO 2018_Table 13'!$C$36)</f>
        <v>104.48903396869805</v>
      </c>
      <c r="Q113" s="196">
        <f>IF(P113="","",$B113*'AEO 2018_Table 13'!Q$36/'AEO 2018_Table 13'!$C$36)</f>
        <v>104.225227834176</v>
      </c>
      <c r="R113" s="196">
        <f>IF(Q113="","",$B113*'AEO 2018_Table 13'!R$36/'AEO 2018_Table 13'!$C$36)</f>
        <v>104.28526753068246</v>
      </c>
      <c r="S113" s="196">
        <f>IF(R113="","",$B113*'AEO 2018_Table 13'!S$36/'AEO 2018_Table 13'!$C$36)</f>
        <v>104.53663577411238</v>
      </c>
      <c r="T113" s="196">
        <f>IF(S113="","",$B113*'AEO 2018_Table 13'!T$36/'AEO 2018_Table 13'!$C$36)</f>
        <v>104.47091457179839</v>
      </c>
      <c r="U113" s="196">
        <f>IF(T113="","",$B113*'AEO 2018_Table 13'!U$36/'AEO 2018_Table 13'!$C$36)</f>
        <v>104.71813685153094</v>
      </c>
      <c r="V113" s="196">
        <f>IF(U113="","",$B113*'AEO 2018_Table 13'!V$36/'AEO 2018_Table 13'!$C$36)</f>
        <v>104.992998889246</v>
      </c>
      <c r="W113" s="196">
        <f>IF(V113="","",$B113*'AEO 2018_Table 13'!W$36/'AEO 2018_Table 13'!$C$36)</f>
        <v>105.53688790465759</v>
      </c>
      <c r="X113" s="196">
        <f>IF(W113="","",$B113*'AEO 2018_Table 13'!X$36/'AEO 2018_Table 13'!$C$36)</f>
        <v>105.8002333765466</v>
      </c>
      <c r="Y113" s="196">
        <f>IF(X113="","",$B113*'AEO 2018_Table 13'!Y$36/'AEO 2018_Table 13'!$C$36)</f>
        <v>106.03670686150818</v>
      </c>
      <c r="Z113" s="196">
        <f>IF(Y113="","",$B113*'AEO 2018_Table 13'!Z$36/'AEO 2018_Table 13'!$C$36)</f>
        <v>106.30204853814038</v>
      </c>
      <c r="AA113" s="196">
        <f>IF(Z113="","",$B113*'AEO 2018_Table 13'!AA$36/'AEO 2018_Table 13'!$C$36)</f>
        <v>106.33045606717796</v>
      </c>
      <c r="AB113" s="196">
        <f>IF(AA113="","",$B113*'AEO 2018_Table 13'!AB$36/'AEO 2018_Table 13'!$C$36)</f>
        <v>106.55848407053375</v>
      </c>
      <c r="AC113" s="196">
        <f>IF(AB113="","",$B113*'AEO 2018_Table 13'!AC$36/'AEO 2018_Table 13'!$C$36)</f>
        <v>107.17976440829641</v>
      </c>
      <c r="AD113" s="196">
        <f>IF(AC113="","",$B113*'AEO 2018_Table 13'!AD$36/'AEO 2018_Table 13'!$C$36)</f>
        <v>107.78215757810432</v>
      </c>
      <c r="AE113" s="196">
        <f>IF(AD113="","",$B113*'AEO 2018_Table 13'!AE$36/'AEO 2018_Table 13'!$C$36)</f>
        <v>108.01847750885489</v>
      </c>
      <c r="AF113" s="196">
        <f>IF(AE113="","",$B113*'AEO 2018_Table 13'!AF$36/'AEO 2018_Table 13'!$C$36)</f>
        <v>108.53917983840337</v>
      </c>
      <c r="AG113" s="196">
        <f>IF(AF113="","",$B113*'AEO 2018_Table 13'!AG$36/'AEO 2018_Table 13'!$C$36)</f>
        <v>108.99600361617003</v>
      </c>
      <c r="AH113" s="196">
        <f>IF(AG113="","",$B113*'AEO 2018_Table 13'!AH$36/'AEO 2018_Table 13'!$C$36)</f>
        <v>109.17320517568018</v>
      </c>
      <c r="AI113" s="196">
        <f>IF(AH113="","",$B113*'AEO 2018_Table 13'!AI$36/'AEO 2018_Table 13'!$C$36)</f>
        <v>109.68131605992552</v>
      </c>
      <c r="AJ113" s="196">
        <f>IF(AI113="","",$B113*'AEO 2018_Table 13'!AJ$36/'AEO 2018_Table 13'!$C$36)</f>
        <v>110.09161291175494</v>
      </c>
      <c r="AK113" s="196">
        <f>IF(AJ113="","",$B113*'AEO 2018_Table 13'!AK$36/'AEO 2018_Table 13'!$C$36)</f>
        <v>110.74053300750009</v>
      </c>
    </row>
    <row r="114" spans="1:37" x14ac:dyDescent="0.25">
      <c r="A114" s="212" t="s">
        <v>1255</v>
      </c>
      <c r="B114" s="196">
        <v>92.590494637373794</v>
      </c>
      <c r="C114" s="196">
        <f>IF(B114="","",$B114*'AEO 2018_Table 13'!C$36/'AEO 2018_Table 13'!$C$36)</f>
        <v>92.590494637373794</v>
      </c>
      <c r="D114" s="196">
        <f>IF(C114="","",$B114*'AEO 2018_Table 13'!D$36/'AEO 2018_Table 13'!$C$36)</f>
        <v>83.600633641158211</v>
      </c>
      <c r="E114" s="196">
        <f>IF(D114="","",$B114*'AEO 2018_Table 13'!E$36/'AEO 2018_Table 13'!$C$36)</f>
        <v>87.562970044078</v>
      </c>
      <c r="F114" s="196">
        <f>IF(E114="","",$B114*'AEO 2018_Table 13'!F$36/'AEO 2018_Table 13'!$C$36)</f>
        <v>89.717623441204765</v>
      </c>
      <c r="G114" s="196">
        <f>IF(F114="","",$B114*'AEO 2018_Table 13'!G$36/'AEO 2018_Table 13'!$C$36)</f>
        <v>90.018085615775632</v>
      </c>
      <c r="H114" s="196">
        <f>IF(G114="","",$B114*'AEO 2018_Table 13'!H$36/'AEO 2018_Table 13'!$C$36)</f>
        <v>89.563914466742062</v>
      </c>
      <c r="I114" s="196">
        <f>IF(H114="","",$B114*'AEO 2018_Table 13'!I$36/'AEO 2018_Table 13'!$C$36)</f>
        <v>90.345416173637645</v>
      </c>
      <c r="J114" s="196">
        <f>IF(I114="","",$B114*'AEO 2018_Table 13'!J$36/'AEO 2018_Table 13'!$C$36)</f>
        <v>91.105232231074865</v>
      </c>
      <c r="K114" s="196">
        <f>IF(J114="","",$B114*'AEO 2018_Table 13'!K$36/'AEO 2018_Table 13'!$C$36)</f>
        <v>91.770804365394326</v>
      </c>
      <c r="L114" s="196">
        <f>IF(K114="","",$B114*'AEO 2018_Table 13'!L$36/'AEO 2018_Table 13'!$C$36)</f>
        <v>92.270938180260998</v>
      </c>
      <c r="M114" s="196">
        <f>IF(L114="","",$B114*'AEO 2018_Table 13'!M$36/'AEO 2018_Table 13'!$C$36)</f>
        <v>91.865730227174311</v>
      </c>
      <c r="N114" s="196">
        <f>IF(M114="","",$B114*'AEO 2018_Table 13'!N$36/'AEO 2018_Table 13'!$C$36)</f>
        <v>92.266300997357959</v>
      </c>
      <c r="O114" s="196">
        <f>IF(N114="","",$B114*'AEO 2018_Table 13'!O$36/'AEO 2018_Table 13'!$C$36)</f>
        <v>92.613135000959247</v>
      </c>
      <c r="P114" s="196">
        <f>IF(O114="","",$B114*'AEO 2018_Table 13'!P$36/'AEO 2018_Table 13'!$C$36)</f>
        <v>92.807760295154722</v>
      </c>
      <c r="Q114" s="196">
        <f>IF(P114="","",$B114*'AEO 2018_Table 13'!Q$36/'AEO 2018_Table 13'!$C$36)</f>
        <v>92.573446170818485</v>
      </c>
      <c r="R114" s="196">
        <f>IF(Q114="","",$B114*'AEO 2018_Table 13'!R$36/'AEO 2018_Table 13'!$C$36)</f>
        <v>92.626773774203514</v>
      </c>
      <c r="S114" s="196">
        <f>IF(R114="","",$B114*'AEO 2018_Table 13'!S$36/'AEO 2018_Table 13'!$C$36)</f>
        <v>92.850040492211903</v>
      </c>
      <c r="T114" s="196">
        <f>IF(S114="","",$B114*'AEO 2018_Table 13'!T$36/'AEO 2018_Table 13'!$C$36)</f>
        <v>92.791666542726489</v>
      </c>
      <c r="U114" s="196">
        <f>IF(T114="","",$B114*'AEO 2018_Table 13'!U$36/'AEO 2018_Table 13'!$C$36)</f>
        <v>93.011250791958943</v>
      </c>
      <c r="V114" s="196">
        <f>IF(U114="","",$B114*'AEO 2018_Table 13'!V$36/'AEO 2018_Table 13'!$C$36)</f>
        <v>93.255384833031044</v>
      </c>
      <c r="W114" s="196">
        <f>IF(V114="","",$B114*'AEO 2018_Table 13'!W$36/'AEO 2018_Table 13'!$C$36)</f>
        <v>93.738470181342407</v>
      </c>
      <c r="X114" s="196">
        <f>IF(W114="","",$B114*'AEO 2018_Table 13'!X$36/'AEO 2018_Table 13'!$C$36)</f>
        <v>93.972375142481312</v>
      </c>
      <c r="Y114" s="196">
        <f>IF(X114="","",$B114*'AEO 2018_Table 13'!Y$36/'AEO 2018_Table 13'!$C$36)</f>
        <v>94.182412250442781</v>
      </c>
      <c r="Z114" s="196">
        <f>IF(Y114="","",$B114*'AEO 2018_Table 13'!Z$36/'AEO 2018_Table 13'!$C$36)</f>
        <v>94.41809025210344</v>
      </c>
      <c r="AA114" s="196">
        <f>IF(Z114="","",$B114*'AEO 2018_Table 13'!AA$36/'AEO 2018_Table 13'!$C$36)</f>
        <v>94.443321982605312</v>
      </c>
      <c r="AB114" s="196">
        <f>IF(AA114="","",$B114*'AEO 2018_Table 13'!AB$36/'AEO 2018_Table 13'!$C$36)</f>
        <v>94.645857765282415</v>
      </c>
      <c r="AC114" s="196">
        <f>IF(AB114="","",$B114*'AEO 2018_Table 13'!AC$36/'AEO 2018_Table 13'!$C$36)</f>
        <v>95.197682530744814</v>
      </c>
      <c r="AD114" s="196">
        <f>IF(AC114="","",$B114*'AEO 2018_Table 13'!AD$36/'AEO 2018_Table 13'!$C$36)</f>
        <v>95.732731605116783</v>
      </c>
      <c r="AE114" s="196">
        <f>IF(AD114="","",$B114*'AEO 2018_Table 13'!AE$36/'AEO 2018_Table 13'!$C$36)</f>
        <v>95.942632325345826</v>
      </c>
      <c r="AF114" s="196">
        <f>IF(AE114="","",$B114*'AEO 2018_Table 13'!AF$36/'AEO 2018_Table 13'!$C$36)</f>
        <v>96.405123126058356</v>
      </c>
      <c r="AG114" s="196">
        <f>IF(AF114="","",$B114*'AEO 2018_Table 13'!AG$36/'AEO 2018_Table 13'!$C$36)</f>
        <v>96.81087663007483</v>
      </c>
      <c r="AH114" s="196">
        <f>IF(AG114="","",$B114*'AEO 2018_Table 13'!AH$36/'AEO 2018_Table 13'!$C$36)</f>
        <v>96.968268073313496</v>
      </c>
      <c r="AI114" s="196">
        <f>IF(AH114="","",$B114*'AEO 2018_Table 13'!AI$36/'AEO 2018_Table 13'!$C$36)</f>
        <v>97.419575079965753</v>
      </c>
      <c r="AJ114" s="196">
        <f>IF(AI114="","",$B114*'AEO 2018_Table 13'!AJ$36/'AEO 2018_Table 13'!$C$36)</f>
        <v>97.784003101052136</v>
      </c>
      <c r="AK114" s="196">
        <f>IF(AJ114="","",$B114*'AEO 2018_Table 13'!AK$36/'AEO 2018_Table 13'!$C$36)</f>
        <v>98.360377658354182</v>
      </c>
    </row>
    <row r="115" spans="1:37" x14ac:dyDescent="0.25">
      <c r="A115" s="212" t="s">
        <v>1256</v>
      </c>
      <c r="B115" s="196">
        <v>75.107590182706673</v>
      </c>
      <c r="C115" s="196">
        <f>IF(B115="","",$B115*'AEO 2018_Table 13'!C$36/'AEO 2018_Table 13'!$C$36)</f>
        <v>75.107590182706673</v>
      </c>
      <c r="D115" s="196">
        <f>IF(C115="","",$B115*'AEO 2018_Table 13'!D$36/'AEO 2018_Table 13'!$C$36)</f>
        <v>67.815191560713416</v>
      </c>
      <c r="E115" s="196">
        <f>IF(D115="","",$B115*'AEO 2018_Table 13'!E$36/'AEO 2018_Table 13'!$C$36)</f>
        <v>71.029361005234279</v>
      </c>
      <c r="F115" s="196">
        <f>IF(E115="","",$B115*'AEO 2018_Table 13'!F$36/'AEO 2018_Table 13'!$C$36)</f>
        <v>72.777173509865307</v>
      </c>
      <c r="G115" s="196">
        <f>IF(F115="","",$B115*'AEO 2018_Table 13'!G$36/'AEO 2018_Table 13'!$C$36)</f>
        <v>73.02090252288609</v>
      </c>
      <c r="H115" s="196">
        <f>IF(G115="","",$B115*'AEO 2018_Table 13'!H$36/'AEO 2018_Table 13'!$C$36)</f>
        <v>72.652487809604565</v>
      </c>
      <c r="I115" s="196">
        <f>IF(H115="","",$B115*'AEO 2018_Table 13'!I$36/'AEO 2018_Table 13'!$C$36)</f>
        <v>73.286426640566447</v>
      </c>
      <c r="J115" s="196">
        <f>IF(I115="","",$B115*'AEO 2018_Table 13'!J$36/'AEO 2018_Table 13'!$C$36)</f>
        <v>73.902774498732001</v>
      </c>
      <c r="K115" s="196">
        <f>IF(J115="","",$B115*'AEO 2018_Table 13'!K$36/'AEO 2018_Table 13'!$C$36)</f>
        <v>74.442673538015413</v>
      </c>
      <c r="L115" s="196">
        <f>IF(K115="","",$B115*'AEO 2018_Table 13'!L$36/'AEO 2018_Table 13'!$C$36)</f>
        <v>74.848372262821215</v>
      </c>
      <c r="M115" s="196">
        <f>IF(L115="","",$B115*'AEO 2018_Table 13'!M$36/'AEO 2018_Table 13'!$C$36)</f>
        <v>74.519675532142728</v>
      </c>
      <c r="N115" s="196">
        <f>IF(M115="","",$B115*'AEO 2018_Table 13'!N$36/'AEO 2018_Table 13'!$C$36)</f>
        <v>74.844610671154072</v>
      </c>
      <c r="O115" s="196">
        <f>IF(N115="","",$B115*'AEO 2018_Table 13'!O$36/'AEO 2018_Table 13'!$C$36)</f>
        <v>75.12595560084624</v>
      </c>
      <c r="P115" s="196">
        <f>IF(O115="","",$B115*'AEO 2018_Table 13'!P$36/'AEO 2018_Table 13'!$C$36)</f>
        <v>75.283831815817024</v>
      </c>
      <c r="Q115" s="196">
        <f>IF(P115="","",$B115*'AEO 2018_Table 13'!Q$36/'AEO 2018_Table 13'!$C$36)</f>
        <v>75.093760801577488</v>
      </c>
      <c r="R115" s="196">
        <f>IF(Q115="","",$B115*'AEO 2018_Table 13'!R$36/'AEO 2018_Table 13'!$C$36)</f>
        <v>75.137019105749587</v>
      </c>
      <c r="S115" s="196">
        <f>IF(R115="","",$B115*'AEO 2018_Table 13'!S$36/'AEO 2018_Table 13'!$C$36)</f>
        <v>75.318128681017413</v>
      </c>
      <c r="T115" s="196">
        <f>IF(S115="","",$B115*'AEO 2018_Table 13'!T$36/'AEO 2018_Table 13'!$C$36)</f>
        <v>75.270776880031065</v>
      </c>
      <c r="U115" s="196">
        <f>IF(T115="","",$B115*'AEO 2018_Table 13'!U$36/'AEO 2018_Table 13'!$C$36)</f>
        <v>75.448899308974973</v>
      </c>
      <c r="V115" s="196">
        <f>IF(U115="","",$B115*'AEO 2018_Table 13'!V$36/'AEO 2018_Table 13'!$C$36)</f>
        <v>75.646936046744941</v>
      </c>
      <c r="W115" s="196">
        <f>IF(V115="","",$B115*'AEO 2018_Table 13'!W$36/'AEO 2018_Table 13'!$C$36)</f>
        <v>76.038805390421544</v>
      </c>
      <c r="X115" s="196">
        <f>IF(W115="","",$B115*'AEO 2018_Table 13'!X$36/'AEO 2018_Table 13'!$C$36)</f>
        <v>76.228544499513958</v>
      </c>
      <c r="Y115" s="196">
        <f>IF(X115="","",$B115*'AEO 2018_Table 13'!Y$36/'AEO 2018_Table 13'!$C$36)</f>
        <v>76.398922475025543</v>
      </c>
      <c r="Z115" s="196">
        <f>IF(Y115="","",$B115*'AEO 2018_Table 13'!Z$36/'AEO 2018_Table 13'!$C$36)</f>
        <v>76.59009983975541</v>
      </c>
      <c r="AA115" s="196">
        <f>IF(Z115="","",$B115*'AEO 2018_Table 13'!AA$36/'AEO 2018_Table 13'!$C$36)</f>
        <v>76.610567323826601</v>
      </c>
      <c r="AB115" s="196">
        <f>IF(AA115="","",$B115*'AEO 2018_Table 13'!AB$36/'AEO 2018_Table 13'!$C$36)</f>
        <v>76.774860371641324</v>
      </c>
      <c r="AC115" s="196">
        <f>IF(AB115="","",$B115*'AEO 2018_Table 13'!AC$36/'AEO 2018_Table 13'!$C$36)</f>
        <v>77.222489780030813</v>
      </c>
      <c r="AD115" s="196">
        <f>IF(AC115="","",$B115*'AEO 2018_Table 13'!AD$36/'AEO 2018_Table 13'!$C$36)</f>
        <v>77.656511077389197</v>
      </c>
      <c r="AE115" s="196">
        <f>IF(AD115="","",$B115*'AEO 2018_Table 13'!AE$36/'AEO 2018_Table 13'!$C$36)</f>
        <v>77.826778417851727</v>
      </c>
      <c r="AF115" s="196">
        <f>IF(AE115="","",$B115*'AEO 2018_Table 13'!AF$36/'AEO 2018_Table 13'!$C$36)</f>
        <v>78.201941869124283</v>
      </c>
      <c r="AG115" s="196">
        <f>IF(AF115="","",$B115*'AEO 2018_Table 13'!AG$36/'AEO 2018_Table 13'!$C$36)</f>
        <v>78.531081139998918</v>
      </c>
      <c r="AH115" s="196">
        <f>IF(AG115="","",$B115*'AEO 2018_Table 13'!AH$36/'AEO 2018_Table 13'!$C$36)</f>
        <v>78.658753986583548</v>
      </c>
      <c r="AI115" s="196">
        <f>IF(AH115="","",$B115*'AEO 2018_Table 13'!AI$36/'AEO 2018_Table 13'!$C$36)</f>
        <v>79.024845363835368</v>
      </c>
      <c r="AJ115" s="196">
        <f>IF(AI115="","",$B115*'AEO 2018_Table 13'!AJ$36/'AEO 2018_Table 13'!$C$36)</f>
        <v>79.320462214852839</v>
      </c>
      <c r="AK115" s="196">
        <f>IF(AJ115="","",$B115*'AEO 2018_Table 13'!AK$36/'AEO 2018_Table 13'!$C$36)</f>
        <v>79.788005932068344</v>
      </c>
    </row>
    <row r="116" spans="1:37" x14ac:dyDescent="0.25">
      <c r="A116" s="206" t="s">
        <v>1257</v>
      </c>
      <c r="B116" s="195">
        <v>17.440492145241066</v>
      </c>
      <c r="C116" s="195">
        <f>IF(B116="","",$B116*'AEO 2018_Table 13'!C$36/'AEO 2018_Table 13'!$C$36)</f>
        <v>17.440492145241066</v>
      </c>
      <c r="D116" s="195">
        <f>IF(C116="","",$B116*'AEO 2018_Table 13'!D$36/'AEO 2018_Table 13'!$C$36)</f>
        <v>15.747147696598061</v>
      </c>
      <c r="E116" s="195">
        <f>IF(D116="","",$B116*'AEO 2018_Table 13'!E$36/'AEO 2018_Table 13'!$C$36)</f>
        <v>16.493499654027083</v>
      </c>
      <c r="F116" s="195">
        <f>IF(E116="","",$B116*'AEO 2018_Table 13'!F$36/'AEO 2018_Table 13'!$C$36)</f>
        <v>16.899353578833075</v>
      </c>
      <c r="G116" s="195">
        <f>IF(F116="","",$B116*'AEO 2018_Table 13'!G$36/'AEO 2018_Table 13'!$C$36)</f>
        <v>16.955949109681768</v>
      </c>
      <c r="H116" s="195">
        <f>IF(G116="","",$B116*'AEO 2018_Table 13'!H$36/'AEO 2018_Table 13'!$C$36)</f>
        <v>16.87040071307435</v>
      </c>
      <c r="I116" s="195">
        <f>IF(H116="","",$B116*'AEO 2018_Table 13'!I$36/'AEO 2018_Table 13'!$C$36)</f>
        <v>17.017605611741164</v>
      </c>
      <c r="J116" s="195">
        <f>IF(I116="","",$B116*'AEO 2018_Table 13'!J$36/'AEO 2018_Table 13'!$C$36)</f>
        <v>17.160725767146545</v>
      </c>
      <c r="K116" s="195">
        <f>IF(J116="","",$B116*'AEO 2018_Table 13'!K$36/'AEO 2018_Table 13'!$C$36)</f>
        <v>17.286093988000655</v>
      </c>
      <c r="L116" s="195">
        <f>IF(K116="","",$B116*'AEO 2018_Table 13'!L$36/'AEO 2018_Table 13'!$C$36)</f>
        <v>17.380299985105577</v>
      </c>
      <c r="M116" s="195">
        <f>IF(L116="","",$B116*'AEO 2018_Table 13'!M$36/'AEO 2018_Table 13'!$C$36)</f>
        <v>17.303974373597882</v>
      </c>
      <c r="N116" s="195">
        <f>IF(M116="","",$B116*'AEO 2018_Table 13'!N$36/'AEO 2018_Table 13'!$C$36)</f>
        <v>17.379426517993071</v>
      </c>
      <c r="O116" s="195">
        <f>IF(N116="","",$B116*'AEO 2018_Table 13'!O$36/'AEO 2018_Table 13'!$C$36)</f>
        <v>17.44475671996684</v>
      </c>
      <c r="P116" s="195">
        <f>IF(O116="","",$B116*'AEO 2018_Table 13'!P$36/'AEO 2018_Table 13'!$C$36)</f>
        <v>17.481416648482995</v>
      </c>
      <c r="Q116" s="195">
        <f>IF(P116="","",$B116*'AEO 2018_Table 13'!Q$36/'AEO 2018_Table 13'!$C$36)</f>
        <v>17.437280869092138</v>
      </c>
      <c r="R116" s="195">
        <f>IF(Q116="","",$B116*'AEO 2018_Table 13'!R$36/'AEO 2018_Table 13'!$C$36)</f>
        <v>17.447325740885987</v>
      </c>
      <c r="S116" s="195">
        <f>IF(R116="","",$B116*'AEO 2018_Table 13'!S$36/'AEO 2018_Table 13'!$C$36)</f>
        <v>17.489380613332333</v>
      </c>
      <c r="T116" s="195">
        <f>IF(S116="","",$B116*'AEO 2018_Table 13'!T$36/'AEO 2018_Table 13'!$C$36)</f>
        <v>17.478385203798407</v>
      </c>
      <c r="U116" s="195">
        <f>IF(T116="","",$B116*'AEO 2018_Table 13'!U$36/'AEO 2018_Table 13'!$C$36)</f>
        <v>17.519746440596585</v>
      </c>
      <c r="V116" s="195">
        <f>IF(U116="","",$B116*'AEO 2018_Table 13'!V$36/'AEO 2018_Table 13'!$C$36)</f>
        <v>17.565731915049223</v>
      </c>
      <c r="W116" s="195">
        <f>IF(V116="","",$B116*'AEO 2018_Table 13'!W$36/'AEO 2018_Table 13'!$C$36)</f>
        <v>17.656726636005217</v>
      </c>
      <c r="X116" s="195">
        <f>IF(W116="","",$B116*'AEO 2018_Table 13'!X$36/'AEO 2018_Table 13'!$C$36)</f>
        <v>17.700785344768498</v>
      </c>
      <c r="Y116" s="195">
        <f>IF(X116="","",$B116*'AEO 2018_Table 13'!Y$36/'AEO 2018_Table 13'!$C$36)</f>
        <v>17.740348266923277</v>
      </c>
      <c r="Z116" s="195">
        <f>IF(Y116="","",$B116*'AEO 2018_Table 13'!Z$36/'AEO 2018_Table 13'!$C$36)</f>
        <v>17.784740948406046</v>
      </c>
      <c r="AA116" s="195">
        <f>IF(Z116="","",$B116*'AEO 2018_Table 13'!AA$36/'AEO 2018_Table 13'!$C$36)</f>
        <v>17.789493637106457</v>
      </c>
      <c r="AB116" s="195">
        <f>IF(AA116="","",$B116*'AEO 2018_Table 13'!AB$36/'AEO 2018_Table 13'!$C$36)</f>
        <v>17.82764359775571</v>
      </c>
      <c r="AC116" s="195">
        <f>IF(AB116="","",$B116*'AEO 2018_Table 13'!AC$36/'AEO 2018_Table 13'!$C$36)</f>
        <v>17.93158618414418</v>
      </c>
      <c r="AD116" s="195">
        <f>IF(AC116="","",$B116*'AEO 2018_Table 13'!AD$36/'AEO 2018_Table 13'!$C$36)</f>
        <v>18.032368874802106</v>
      </c>
      <c r="AE116" s="195">
        <f>IF(AD116="","",$B116*'AEO 2018_Table 13'!AE$36/'AEO 2018_Table 13'!$C$36)</f>
        <v>18.071906106747697</v>
      </c>
      <c r="AF116" s="195">
        <f>IF(AE116="","",$B116*'AEO 2018_Table 13'!AF$36/'AEO 2018_Table 13'!$C$36)</f>
        <v>18.159021606115786</v>
      </c>
      <c r="AG116" s="195">
        <f>IF(AF116="","",$B116*'AEO 2018_Table 13'!AG$36/'AEO 2018_Table 13'!$C$36)</f>
        <v>18.235449978460252</v>
      </c>
      <c r="AH116" s="195">
        <f>IF(AG116="","",$B116*'AEO 2018_Table 13'!AH$36/'AEO 2018_Table 13'!$C$36)</f>
        <v>18.265096479867147</v>
      </c>
      <c r="AI116" s="195">
        <f>IF(AH116="","",$B116*'AEO 2018_Table 13'!AI$36/'AEO 2018_Table 13'!$C$36)</f>
        <v>18.350105382081541</v>
      </c>
      <c r="AJ116" s="195">
        <f>IF(AI116="","",$B116*'AEO 2018_Table 13'!AJ$36/'AEO 2018_Table 13'!$C$36)</f>
        <v>18.418749621041009</v>
      </c>
      <c r="AK116" s="195">
        <f>IF(AJ116="","",$B116*'AEO 2018_Table 13'!AK$36/'AEO 2018_Table 13'!$C$36)</f>
        <v>18.52731644508393</v>
      </c>
    </row>
    <row r="117" spans="1:37" x14ac:dyDescent="0.25">
      <c r="A117" s="186" t="s">
        <v>1186</v>
      </c>
      <c r="B117" s="188"/>
      <c r="C117" s="188" t="str">
        <f>IF(B117="","",$B117*'AEO 2018_Table 13'!C$36/'AEO 2018_Table 13'!$C$36)</f>
        <v/>
      </c>
      <c r="D117" s="188" t="str">
        <f>IF(C117="","",$B117*'AEO 2018_Table 13'!D$36/'AEO 2018_Table 13'!$C$36)</f>
        <v/>
      </c>
      <c r="E117" s="188" t="str">
        <f>IF(D117="","",$B117*'AEO 2018_Table 13'!E$36/'AEO 2018_Table 13'!$C$36)</f>
        <v/>
      </c>
      <c r="F117" s="188" t="str">
        <f>IF(E117="","",$B117*'AEO 2018_Table 13'!F$36/'AEO 2018_Table 13'!$C$36)</f>
        <v/>
      </c>
      <c r="G117" s="188" t="str">
        <f>IF(F117="","",$B117*'AEO 2018_Table 13'!G$36/'AEO 2018_Table 13'!$C$36)</f>
        <v/>
      </c>
      <c r="H117" s="188" t="str">
        <f>IF(G117="","",$B117*'AEO 2018_Table 13'!H$36/'AEO 2018_Table 13'!$C$36)</f>
        <v/>
      </c>
      <c r="I117" s="188" t="str">
        <f>IF(H117="","",$B117*'AEO 2018_Table 13'!I$36/'AEO 2018_Table 13'!$C$36)</f>
        <v/>
      </c>
      <c r="J117" s="188" t="str">
        <f>IF(I117="","",$B117*'AEO 2018_Table 13'!J$36/'AEO 2018_Table 13'!$C$36)</f>
        <v/>
      </c>
      <c r="K117" s="188" t="str">
        <f>IF(J117="","",$B117*'AEO 2018_Table 13'!K$36/'AEO 2018_Table 13'!$C$36)</f>
        <v/>
      </c>
      <c r="L117" s="188" t="str">
        <f>IF(K117="","",$B117*'AEO 2018_Table 13'!L$36/'AEO 2018_Table 13'!$C$36)</f>
        <v/>
      </c>
      <c r="M117" s="188" t="str">
        <f>IF(L117="","",$B117*'AEO 2018_Table 13'!M$36/'AEO 2018_Table 13'!$C$36)</f>
        <v/>
      </c>
      <c r="N117" s="188" t="str">
        <f>IF(M117="","",$B117*'AEO 2018_Table 13'!N$36/'AEO 2018_Table 13'!$C$36)</f>
        <v/>
      </c>
      <c r="O117" s="188" t="str">
        <f>IF(N117="","",$B117*'AEO 2018_Table 13'!O$36/'AEO 2018_Table 13'!$C$36)</f>
        <v/>
      </c>
      <c r="P117" s="188" t="str">
        <f>IF(O117="","",$B117*'AEO 2018_Table 13'!P$36/'AEO 2018_Table 13'!$C$36)</f>
        <v/>
      </c>
      <c r="Q117" s="188" t="str">
        <f>IF(P117="","",$B117*'AEO 2018_Table 13'!Q$36/'AEO 2018_Table 13'!$C$36)</f>
        <v/>
      </c>
      <c r="R117" s="188" t="str">
        <f>IF(Q117="","",$B117*'AEO 2018_Table 13'!R$36/'AEO 2018_Table 13'!$C$36)</f>
        <v/>
      </c>
      <c r="S117" s="188" t="str">
        <f>IF(R117="","",$B117*'AEO 2018_Table 13'!S$36/'AEO 2018_Table 13'!$C$36)</f>
        <v/>
      </c>
      <c r="T117" s="188" t="str">
        <f>IF(S117="","",$B117*'AEO 2018_Table 13'!T$36/'AEO 2018_Table 13'!$C$36)</f>
        <v/>
      </c>
      <c r="U117" s="188" t="str">
        <f>IF(T117="","",$B117*'AEO 2018_Table 13'!U$36/'AEO 2018_Table 13'!$C$36)</f>
        <v/>
      </c>
      <c r="V117" s="188" t="str">
        <f>IF(U117="","",$B117*'AEO 2018_Table 13'!V$36/'AEO 2018_Table 13'!$C$36)</f>
        <v/>
      </c>
      <c r="W117" s="188" t="str">
        <f>IF(V117="","",$B117*'AEO 2018_Table 13'!W$36/'AEO 2018_Table 13'!$C$36)</f>
        <v/>
      </c>
      <c r="X117" s="188" t="str">
        <f>IF(W117="","",$B117*'AEO 2018_Table 13'!X$36/'AEO 2018_Table 13'!$C$36)</f>
        <v/>
      </c>
      <c r="Y117" s="188" t="str">
        <f>IF(X117="","",$B117*'AEO 2018_Table 13'!Y$36/'AEO 2018_Table 13'!$C$36)</f>
        <v/>
      </c>
      <c r="Z117" s="188" t="str">
        <f>IF(Y117="","",$B117*'AEO 2018_Table 13'!Z$36/'AEO 2018_Table 13'!$C$36)</f>
        <v/>
      </c>
      <c r="AA117" s="188" t="str">
        <f>IF(Z117="","",$B117*'AEO 2018_Table 13'!AA$36/'AEO 2018_Table 13'!$C$36)</f>
        <v/>
      </c>
      <c r="AB117" s="188" t="str">
        <f>IF(AA117="","",$B117*'AEO 2018_Table 13'!AB$36/'AEO 2018_Table 13'!$C$36)</f>
        <v/>
      </c>
      <c r="AC117" s="188" t="str">
        <f>IF(AB117="","",$B117*'AEO 2018_Table 13'!AC$36/'AEO 2018_Table 13'!$C$36)</f>
        <v/>
      </c>
      <c r="AD117" s="188" t="str">
        <f>IF(AC117="","",$B117*'AEO 2018_Table 13'!AD$36/'AEO 2018_Table 13'!$C$36)</f>
        <v/>
      </c>
      <c r="AE117" s="188" t="str">
        <f>IF(AD117="","",$B117*'AEO 2018_Table 13'!AE$36/'AEO 2018_Table 13'!$C$36)</f>
        <v/>
      </c>
      <c r="AF117" s="188" t="str">
        <f>IF(AE117="","",$B117*'AEO 2018_Table 13'!AF$36/'AEO 2018_Table 13'!$C$36)</f>
        <v/>
      </c>
      <c r="AG117" s="188" t="str">
        <f>IF(AF117="","",$B117*'AEO 2018_Table 13'!AG$36/'AEO 2018_Table 13'!$C$36)</f>
        <v/>
      </c>
      <c r="AH117" s="188" t="str">
        <f>IF(AG117="","",$B117*'AEO 2018_Table 13'!AH$36/'AEO 2018_Table 13'!$C$36)</f>
        <v/>
      </c>
      <c r="AI117" s="188" t="str">
        <f>IF(AH117="","",$B117*'AEO 2018_Table 13'!AI$36/'AEO 2018_Table 13'!$C$36)</f>
        <v/>
      </c>
      <c r="AJ117" s="188" t="str">
        <f>IF(AI117="","",$B117*'AEO 2018_Table 13'!AJ$36/'AEO 2018_Table 13'!$C$36)</f>
        <v/>
      </c>
      <c r="AK117" s="188" t="str">
        <f>IF(AJ117="","",$B117*'AEO 2018_Table 13'!AK$36/'AEO 2018_Table 13'!$C$36)</f>
        <v/>
      </c>
    </row>
    <row r="118" spans="1:37" x14ac:dyDescent="0.25">
      <c r="A118" s="207" t="s">
        <v>1258</v>
      </c>
      <c r="B118" s="191"/>
      <c r="C118" s="191" t="str">
        <f>IF(B118="","",$B118*'AEO 2018_Table 13'!C$36/'AEO 2018_Table 13'!$C$36)</f>
        <v/>
      </c>
      <c r="D118" s="191" t="str">
        <f>IF(C118="","",$B118*'AEO 2018_Table 13'!D$36/'AEO 2018_Table 13'!$C$36)</f>
        <v/>
      </c>
      <c r="E118" s="191" t="str">
        <f>IF(D118="","",$B118*'AEO 2018_Table 13'!E$36/'AEO 2018_Table 13'!$C$36)</f>
        <v/>
      </c>
      <c r="F118" s="191" t="str">
        <f>IF(E118="","",$B118*'AEO 2018_Table 13'!F$36/'AEO 2018_Table 13'!$C$36)</f>
        <v/>
      </c>
      <c r="G118" s="191" t="str">
        <f>IF(F118="","",$B118*'AEO 2018_Table 13'!G$36/'AEO 2018_Table 13'!$C$36)</f>
        <v/>
      </c>
      <c r="H118" s="191" t="str">
        <f>IF(G118="","",$B118*'AEO 2018_Table 13'!H$36/'AEO 2018_Table 13'!$C$36)</f>
        <v/>
      </c>
      <c r="I118" s="191" t="str">
        <f>IF(H118="","",$B118*'AEO 2018_Table 13'!I$36/'AEO 2018_Table 13'!$C$36)</f>
        <v/>
      </c>
      <c r="J118" s="191" t="str">
        <f>IF(I118="","",$B118*'AEO 2018_Table 13'!J$36/'AEO 2018_Table 13'!$C$36)</f>
        <v/>
      </c>
      <c r="K118" s="191" t="str">
        <f>IF(J118="","",$B118*'AEO 2018_Table 13'!K$36/'AEO 2018_Table 13'!$C$36)</f>
        <v/>
      </c>
      <c r="L118" s="191" t="str">
        <f>IF(K118="","",$B118*'AEO 2018_Table 13'!L$36/'AEO 2018_Table 13'!$C$36)</f>
        <v/>
      </c>
      <c r="M118" s="191" t="str">
        <f>IF(L118="","",$B118*'AEO 2018_Table 13'!M$36/'AEO 2018_Table 13'!$C$36)</f>
        <v/>
      </c>
      <c r="N118" s="191" t="str">
        <f>IF(M118="","",$B118*'AEO 2018_Table 13'!N$36/'AEO 2018_Table 13'!$C$36)</f>
        <v/>
      </c>
      <c r="O118" s="191" t="str">
        <f>IF(N118="","",$B118*'AEO 2018_Table 13'!O$36/'AEO 2018_Table 13'!$C$36)</f>
        <v/>
      </c>
      <c r="P118" s="191" t="str">
        <f>IF(O118="","",$B118*'AEO 2018_Table 13'!P$36/'AEO 2018_Table 13'!$C$36)</f>
        <v/>
      </c>
      <c r="Q118" s="191" t="str">
        <f>IF(P118="","",$B118*'AEO 2018_Table 13'!Q$36/'AEO 2018_Table 13'!$C$36)</f>
        <v/>
      </c>
      <c r="R118" s="191" t="str">
        <f>IF(Q118="","",$B118*'AEO 2018_Table 13'!R$36/'AEO 2018_Table 13'!$C$36)</f>
        <v/>
      </c>
      <c r="S118" s="191" t="str">
        <f>IF(R118="","",$B118*'AEO 2018_Table 13'!S$36/'AEO 2018_Table 13'!$C$36)</f>
        <v/>
      </c>
      <c r="T118" s="191" t="str">
        <f>IF(S118="","",$B118*'AEO 2018_Table 13'!T$36/'AEO 2018_Table 13'!$C$36)</f>
        <v/>
      </c>
      <c r="U118" s="191" t="str">
        <f>IF(T118="","",$B118*'AEO 2018_Table 13'!U$36/'AEO 2018_Table 13'!$C$36)</f>
        <v/>
      </c>
      <c r="V118" s="191" t="str">
        <f>IF(U118="","",$B118*'AEO 2018_Table 13'!V$36/'AEO 2018_Table 13'!$C$36)</f>
        <v/>
      </c>
      <c r="W118" s="191" t="str">
        <f>IF(V118="","",$B118*'AEO 2018_Table 13'!W$36/'AEO 2018_Table 13'!$C$36)</f>
        <v/>
      </c>
      <c r="X118" s="191" t="str">
        <f>IF(W118="","",$B118*'AEO 2018_Table 13'!X$36/'AEO 2018_Table 13'!$C$36)</f>
        <v/>
      </c>
      <c r="Y118" s="191" t="str">
        <f>IF(X118="","",$B118*'AEO 2018_Table 13'!Y$36/'AEO 2018_Table 13'!$C$36)</f>
        <v/>
      </c>
      <c r="Z118" s="191" t="str">
        <f>IF(Y118="","",$B118*'AEO 2018_Table 13'!Z$36/'AEO 2018_Table 13'!$C$36)</f>
        <v/>
      </c>
      <c r="AA118" s="191" t="str">
        <f>IF(Z118="","",$B118*'AEO 2018_Table 13'!AA$36/'AEO 2018_Table 13'!$C$36)</f>
        <v/>
      </c>
      <c r="AB118" s="191" t="str">
        <f>IF(AA118="","",$B118*'AEO 2018_Table 13'!AB$36/'AEO 2018_Table 13'!$C$36)</f>
        <v/>
      </c>
      <c r="AC118" s="191" t="str">
        <f>IF(AB118="","",$B118*'AEO 2018_Table 13'!AC$36/'AEO 2018_Table 13'!$C$36)</f>
        <v/>
      </c>
      <c r="AD118" s="191" t="str">
        <f>IF(AC118="","",$B118*'AEO 2018_Table 13'!AD$36/'AEO 2018_Table 13'!$C$36)</f>
        <v/>
      </c>
      <c r="AE118" s="191" t="str">
        <f>IF(AD118="","",$B118*'AEO 2018_Table 13'!AE$36/'AEO 2018_Table 13'!$C$36)</f>
        <v/>
      </c>
      <c r="AF118" s="191" t="str">
        <f>IF(AE118="","",$B118*'AEO 2018_Table 13'!AF$36/'AEO 2018_Table 13'!$C$36)</f>
        <v/>
      </c>
      <c r="AG118" s="191" t="str">
        <f>IF(AF118="","",$B118*'AEO 2018_Table 13'!AG$36/'AEO 2018_Table 13'!$C$36)</f>
        <v/>
      </c>
      <c r="AH118" s="191" t="str">
        <f>IF(AG118="","",$B118*'AEO 2018_Table 13'!AH$36/'AEO 2018_Table 13'!$C$36)</f>
        <v/>
      </c>
      <c r="AI118" s="191" t="str">
        <f>IF(AH118="","",$B118*'AEO 2018_Table 13'!AI$36/'AEO 2018_Table 13'!$C$36)</f>
        <v/>
      </c>
      <c r="AJ118" s="191" t="str">
        <f>IF(AI118="","",$B118*'AEO 2018_Table 13'!AJ$36/'AEO 2018_Table 13'!$C$36)</f>
        <v/>
      </c>
      <c r="AK118" s="191" t="str">
        <f>IF(AJ118="","",$B118*'AEO 2018_Table 13'!AK$36/'AEO 2018_Table 13'!$C$36)</f>
        <v/>
      </c>
    </row>
    <row r="119" spans="1:37" x14ac:dyDescent="0.25">
      <c r="A119" s="213" t="s">
        <v>1259</v>
      </c>
      <c r="B119" s="193">
        <v>2.1101121426744944</v>
      </c>
      <c r="C119" s="193">
        <f>IF(B119="","",$B119*'AEO 2018_Table 13'!C$36/'AEO 2018_Table 13'!$C$36)</f>
        <v>2.1101121426744944</v>
      </c>
      <c r="D119" s="193">
        <f>IF(C119="","",$B119*'AEO 2018_Table 13'!D$36/'AEO 2018_Table 13'!$C$36)</f>
        <v>1.9052356602303309</v>
      </c>
      <c r="E119" s="193">
        <f>IF(D119="","",$B119*'AEO 2018_Table 13'!E$36/'AEO 2018_Table 13'!$C$36)</f>
        <v>1.9955362271503756</v>
      </c>
      <c r="F119" s="193">
        <f>IF(E119="","",$B119*'AEO 2018_Table 13'!F$36/'AEO 2018_Table 13'!$C$36)</f>
        <v>2.0446401909464265</v>
      </c>
      <c r="G119" s="193">
        <f>IF(F119="","",$B119*'AEO 2018_Table 13'!G$36/'AEO 2018_Table 13'!$C$36)</f>
        <v>2.0514876420315451</v>
      </c>
      <c r="H119" s="193">
        <f>IF(G119="","",$B119*'AEO 2018_Table 13'!H$36/'AEO 2018_Table 13'!$C$36)</f>
        <v>2.0411372053027912</v>
      </c>
      <c r="I119" s="193">
        <f>IF(H119="","",$B119*'AEO 2018_Table 13'!I$36/'AEO 2018_Table 13'!$C$36)</f>
        <v>2.0589474162504664</v>
      </c>
      <c r="J119" s="193">
        <f>IF(I119="","",$B119*'AEO 2018_Table 13'!J$36/'AEO 2018_Table 13'!$C$36)</f>
        <v>2.076263417156138</v>
      </c>
      <c r="K119" s="193">
        <f>IF(J119="","",$B119*'AEO 2018_Table 13'!K$36/'AEO 2018_Table 13'!$C$36)</f>
        <v>2.0914316247346116</v>
      </c>
      <c r="L119" s="193">
        <f>IF(K119="","",$B119*'AEO 2018_Table 13'!L$36/'AEO 2018_Table 13'!$C$36)</f>
        <v>2.1028295380932724</v>
      </c>
      <c r="M119" s="193">
        <f>IF(L119="","",$B119*'AEO 2018_Table 13'!M$36/'AEO 2018_Table 13'!$C$36)</f>
        <v>2.0935949592580991</v>
      </c>
      <c r="N119" s="193">
        <f>IF(M119="","",$B119*'AEO 2018_Table 13'!N$36/'AEO 2018_Table 13'!$C$36)</f>
        <v>2.1027238579585044</v>
      </c>
      <c r="O119" s="193">
        <f>IF(N119="","",$B119*'AEO 2018_Table 13'!O$36/'AEO 2018_Table 13'!$C$36)</f>
        <v>2.1106281103913034</v>
      </c>
      <c r="P119" s="193">
        <f>IF(O119="","",$B119*'AEO 2018_Table 13'!P$36/'AEO 2018_Table 13'!$C$36)</f>
        <v>2.115063567812304</v>
      </c>
      <c r="Q119" s="193">
        <f>IF(P119="","",$B119*'AEO 2018_Table 13'!Q$36/'AEO 2018_Table 13'!$C$36)</f>
        <v>2.1097236127672594</v>
      </c>
      <c r="R119" s="193">
        <f>IF(Q119="","",$B119*'AEO 2018_Table 13'!R$36/'AEO 2018_Table 13'!$C$36)</f>
        <v>2.1109389343170917</v>
      </c>
      <c r="S119" s="193">
        <f>IF(R119="","",$B119*'AEO 2018_Table 13'!S$36/'AEO 2018_Table 13'!$C$36)</f>
        <v>2.1160271219822482</v>
      </c>
      <c r="T119" s="193">
        <f>IF(S119="","",$B119*'AEO 2018_Table 13'!T$36/'AEO 2018_Table 13'!$C$36)</f>
        <v>2.114696795579873</v>
      </c>
      <c r="U119" s="193">
        <f>IF(T119="","",$B119*'AEO 2018_Table 13'!U$36/'AEO 2018_Table 13'!$C$36)</f>
        <v>2.1197010607850664</v>
      </c>
      <c r="V119" s="193">
        <f>IF(U119="","",$B119*'AEO 2018_Table 13'!V$36/'AEO 2018_Table 13'!$C$36)</f>
        <v>2.125264809056679</v>
      </c>
      <c r="W119" s="193">
        <f>IF(V119="","",$B119*'AEO 2018_Table 13'!W$36/'AEO 2018_Table 13'!$C$36)</f>
        <v>2.1362741925081039</v>
      </c>
      <c r="X119" s="193">
        <f>IF(W119="","",$B119*'AEO 2018_Table 13'!X$36/'AEO 2018_Table 13'!$C$36)</f>
        <v>2.1416048228353746</v>
      </c>
      <c r="Y119" s="193">
        <f>IF(X119="","",$B119*'AEO 2018_Table 13'!Y$36/'AEO 2018_Table 13'!$C$36)</f>
        <v>2.1463915112925163</v>
      </c>
      <c r="Z119" s="193">
        <f>IF(Y119="","",$B119*'AEO 2018_Table 13'!Z$36/'AEO 2018_Table 13'!$C$36)</f>
        <v>2.1517625487301397</v>
      </c>
      <c r="AA119" s="193">
        <f>IF(Z119="","",$B119*'AEO 2018_Table 13'!AA$36/'AEO 2018_Table 13'!$C$36)</f>
        <v>2.1523375729928484</v>
      </c>
      <c r="AB119" s="193">
        <f>IF(AA119="","",$B119*'AEO 2018_Table 13'!AB$36/'AEO 2018_Table 13'!$C$36)</f>
        <v>2.1569533082908059</v>
      </c>
      <c r="AC119" s="193">
        <f>IF(AB119="","",$B119*'AEO 2018_Table 13'!AC$36/'AEO 2018_Table 13'!$C$36)</f>
        <v>2.1695292443282042</v>
      </c>
      <c r="AD119" s="193">
        <f>IF(AC119="","",$B119*'AEO 2018_Table 13'!AD$36/'AEO 2018_Table 13'!$C$36)</f>
        <v>2.1817228669368833</v>
      </c>
      <c r="AE119" s="193">
        <f>IF(AD119="","",$B119*'AEO 2018_Table 13'!AE$36/'AEO 2018_Table 13'!$C$36)</f>
        <v>2.1865064471547671</v>
      </c>
      <c r="AF119" s="193">
        <f>IF(AE119="","",$B119*'AEO 2018_Table 13'!AF$36/'AEO 2018_Table 13'!$C$36)</f>
        <v>2.1970464864782513</v>
      </c>
      <c r="AG119" s="193">
        <f>IF(AF119="","",$B119*'AEO 2018_Table 13'!AG$36/'AEO 2018_Table 13'!$C$36)</f>
        <v>2.2062934982704561</v>
      </c>
      <c r="AH119" s="193">
        <f>IF(AG119="","",$B119*'AEO 2018_Table 13'!AH$36/'AEO 2018_Table 13'!$C$36)</f>
        <v>2.209880406374054</v>
      </c>
      <c r="AI119" s="193">
        <f>IF(AH119="","",$B119*'AEO 2018_Table 13'!AI$36/'AEO 2018_Table 13'!$C$36)</f>
        <v>2.2201655700783922</v>
      </c>
      <c r="AJ119" s="193">
        <f>IF(AI119="","",$B119*'AEO 2018_Table 13'!AJ$36/'AEO 2018_Table 13'!$C$36)</f>
        <v>2.2284707853754582</v>
      </c>
      <c r="AK119" s="193">
        <f>IF(AJ119="","",$B119*'AEO 2018_Table 13'!AK$36/'AEO 2018_Table 13'!$C$36)</f>
        <v>2.2416062044792757</v>
      </c>
    </row>
    <row r="120" spans="1:37" x14ac:dyDescent="0.25">
      <c r="A120" s="206" t="s">
        <v>1260</v>
      </c>
      <c r="B120" s="195">
        <v>4.4367203546633531</v>
      </c>
      <c r="C120" s="195">
        <f>IF(B120="","",$B120*'AEO 2018_Table 13'!C$36/'AEO 2018_Table 13'!$C$36)</f>
        <v>4.4367203546633531</v>
      </c>
      <c r="D120" s="195">
        <f>IF(C120="","",$B120*'AEO 2018_Table 13'!D$36/'AEO 2018_Table 13'!$C$36)</f>
        <v>4.0059472021522504</v>
      </c>
      <c r="E120" s="195">
        <f>IF(D120="","",$B120*'AEO 2018_Table 13'!E$36/'AEO 2018_Table 13'!$C$36)</f>
        <v>4.1958131126834362</v>
      </c>
      <c r="F120" s="195">
        <f>IF(E120="","",$B120*'AEO 2018_Table 13'!F$36/'AEO 2018_Table 13'!$C$36)</f>
        <v>4.2990590735319723</v>
      </c>
      <c r="G120" s="195">
        <f>IF(F120="","",$B120*'AEO 2018_Table 13'!G$36/'AEO 2018_Table 13'!$C$36)</f>
        <v>4.3134565195219281</v>
      </c>
      <c r="H120" s="195">
        <f>IF(G120="","",$B120*'AEO 2018_Table 13'!H$36/'AEO 2018_Table 13'!$C$36)</f>
        <v>4.2916936983024305</v>
      </c>
      <c r="I120" s="195">
        <f>IF(H120="","",$B120*'AEO 2018_Table 13'!I$36/'AEO 2018_Table 13'!$C$36)</f>
        <v>4.3291414357161608</v>
      </c>
      <c r="J120" s="195">
        <f>IF(I120="","",$B120*'AEO 2018_Table 13'!J$36/'AEO 2018_Table 13'!$C$36)</f>
        <v>4.3655500474320235</v>
      </c>
      <c r="K120" s="195">
        <f>IF(J120="","",$B120*'AEO 2018_Table 13'!K$36/'AEO 2018_Table 13'!$C$36)</f>
        <v>4.3974427103602958</v>
      </c>
      <c r="L120" s="195">
        <f>IF(K120="","",$B120*'AEO 2018_Table 13'!L$36/'AEO 2018_Table 13'!$C$36)</f>
        <v>4.4214079552287338</v>
      </c>
      <c r="M120" s="195">
        <f>IF(L120="","",$B120*'AEO 2018_Table 13'!M$36/'AEO 2018_Table 13'!$C$36)</f>
        <v>4.4019913360566241</v>
      </c>
      <c r="N120" s="195">
        <f>IF(M120="","",$B120*'AEO 2018_Table 13'!N$36/'AEO 2018_Table 13'!$C$36)</f>
        <v>4.4211857522493156</v>
      </c>
      <c r="O120" s="195">
        <f>IF(N120="","",$B120*'AEO 2018_Table 13'!O$36/'AEO 2018_Table 13'!$C$36)</f>
        <v>4.4378052280334543</v>
      </c>
      <c r="P120" s="195">
        <f>IF(O120="","",$B120*'AEO 2018_Table 13'!P$36/'AEO 2018_Table 13'!$C$36)</f>
        <v>4.4471312177872759</v>
      </c>
      <c r="Q120" s="195">
        <f>IF(P120="","",$B120*'AEO 2018_Table 13'!Q$36/'AEO 2018_Table 13'!$C$36)</f>
        <v>4.4359034319449036</v>
      </c>
      <c r="R120" s="195">
        <f>IF(Q120="","",$B120*'AEO 2018_Table 13'!R$36/'AEO 2018_Table 13'!$C$36)</f>
        <v>4.4384587662082149</v>
      </c>
      <c r="S120" s="195">
        <f>IF(R120="","",$B120*'AEO 2018_Table 13'!S$36/'AEO 2018_Table 13'!$C$36)</f>
        <v>4.44915718612903</v>
      </c>
      <c r="T120" s="195">
        <f>IF(S120="","",$B120*'AEO 2018_Table 13'!T$36/'AEO 2018_Table 13'!$C$36)</f>
        <v>4.446360042741059</v>
      </c>
      <c r="U120" s="195">
        <f>IF(T120="","",$B120*'AEO 2018_Table 13'!U$36/'AEO 2018_Table 13'!$C$36)</f>
        <v>4.4568820073546895</v>
      </c>
      <c r="V120" s="195">
        <f>IF(U120="","",$B120*'AEO 2018_Table 13'!V$36/'AEO 2018_Table 13'!$C$36)</f>
        <v>4.4685803406828892</v>
      </c>
      <c r="W120" s="195">
        <f>IF(V120="","",$B120*'AEO 2018_Table 13'!W$36/'AEO 2018_Table 13'!$C$36)</f>
        <v>4.4917286628328768</v>
      </c>
      <c r="X120" s="195">
        <f>IF(W120="","",$B120*'AEO 2018_Table 13'!X$36/'AEO 2018_Table 13'!$C$36)</f>
        <v>4.5029368425300058</v>
      </c>
      <c r="Y120" s="195">
        <f>IF(X120="","",$B120*'AEO 2018_Table 13'!Y$36/'AEO 2018_Table 13'!$C$36)</f>
        <v>4.5130013304213046</v>
      </c>
      <c r="Z120" s="195">
        <f>IF(Y120="","",$B120*'AEO 2018_Table 13'!Z$36/'AEO 2018_Table 13'!$C$36)</f>
        <v>4.524294470081152</v>
      </c>
      <c r="AA120" s="195">
        <f>IF(Z120="","",$B120*'AEO 2018_Table 13'!AA$36/'AEO 2018_Table 13'!$C$36)</f>
        <v>4.5255035157044583</v>
      </c>
      <c r="AB120" s="195">
        <f>IF(AA120="","",$B120*'AEO 2018_Table 13'!AB$36/'AEO 2018_Table 13'!$C$36)</f>
        <v>4.5352085575996393</v>
      </c>
      <c r="AC120" s="195">
        <f>IF(AB120="","",$B120*'AEO 2018_Table 13'!AC$36/'AEO 2018_Table 13'!$C$36)</f>
        <v>4.5616507121504162</v>
      </c>
      <c r="AD120" s="195">
        <f>IF(AC120="","",$B120*'AEO 2018_Table 13'!AD$36/'AEO 2018_Table 13'!$C$36)</f>
        <v>4.5872890147462391</v>
      </c>
      <c r="AE120" s="195">
        <f>IF(AD120="","",$B120*'AEO 2018_Table 13'!AE$36/'AEO 2018_Table 13'!$C$36)</f>
        <v>4.597346967255791</v>
      </c>
      <c r="AF120" s="195">
        <f>IF(AE120="","",$B120*'AEO 2018_Table 13'!AF$36/'AEO 2018_Table 13'!$C$36)</f>
        <v>4.6195084467618921</v>
      </c>
      <c r="AG120" s="195">
        <f>IF(AF120="","",$B120*'AEO 2018_Table 13'!AG$36/'AEO 2018_Table 13'!$C$36)</f>
        <v>4.6389512074609929</v>
      </c>
      <c r="AH120" s="195">
        <f>IF(AG120="","",$B120*'AEO 2018_Table 13'!AH$36/'AEO 2018_Table 13'!$C$36)</f>
        <v>4.6464930379977201</v>
      </c>
      <c r="AI120" s="195">
        <f>IF(AH120="","",$B120*'AEO 2018_Table 13'!AI$36/'AEO 2018_Table 13'!$C$36)</f>
        <v>4.6681186162005179</v>
      </c>
      <c r="AJ120" s="195">
        <f>IF(AI120="","",$B120*'AEO 2018_Table 13'!AJ$36/'AEO 2018_Table 13'!$C$36)</f>
        <v>4.6855811562300973</v>
      </c>
      <c r="AK120" s="195">
        <f>IF(AJ120="","",$B120*'AEO 2018_Table 13'!AK$36/'AEO 2018_Table 13'!$C$36)</f>
        <v>4.7131996794954407</v>
      </c>
    </row>
    <row r="121" spans="1:37" x14ac:dyDescent="0.25">
      <c r="A121" s="207" t="s">
        <v>1239</v>
      </c>
      <c r="B121" s="191"/>
      <c r="C121" s="191" t="str">
        <f>IF(B121="","",$B121*'AEO 2018_Table 13'!C$36/'AEO 2018_Table 13'!$C$36)</f>
        <v/>
      </c>
      <c r="D121" s="191" t="str">
        <f>IF(C121="","",$B121*'AEO 2018_Table 13'!D$36/'AEO 2018_Table 13'!$C$36)</f>
        <v/>
      </c>
      <c r="E121" s="191" t="str">
        <f>IF(D121="","",$B121*'AEO 2018_Table 13'!E$36/'AEO 2018_Table 13'!$C$36)</f>
        <v/>
      </c>
      <c r="F121" s="191" t="str">
        <f>IF(E121="","",$B121*'AEO 2018_Table 13'!F$36/'AEO 2018_Table 13'!$C$36)</f>
        <v/>
      </c>
      <c r="G121" s="191" t="str">
        <f>IF(F121="","",$B121*'AEO 2018_Table 13'!G$36/'AEO 2018_Table 13'!$C$36)</f>
        <v/>
      </c>
      <c r="H121" s="191" t="str">
        <f>IF(G121="","",$B121*'AEO 2018_Table 13'!H$36/'AEO 2018_Table 13'!$C$36)</f>
        <v/>
      </c>
      <c r="I121" s="191" t="str">
        <f>IF(H121="","",$B121*'AEO 2018_Table 13'!I$36/'AEO 2018_Table 13'!$C$36)</f>
        <v/>
      </c>
      <c r="J121" s="191" t="str">
        <f>IF(I121="","",$B121*'AEO 2018_Table 13'!J$36/'AEO 2018_Table 13'!$C$36)</f>
        <v/>
      </c>
      <c r="K121" s="191" t="str">
        <f>IF(J121="","",$B121*'AEO 2018_Table 13'!K$36/'AEO 2018_Table 13'!$C$36)</f>
        <v/>
      </c>
      <c r="L121" s="191" t="str">
        <f>IF(K121="","",$B121*'AEO 2018_Table 13'!L$36/'AEO 2018_Table 13'!$C$36)</f>
        <v/>
      </c>
      <c r="M121" s="191" t="str">
        <f>IF(L121="","",$B121*'AEO 2018_Table 13'!M$36/'AEO 2018_Table 13'!$C$36)</f>
        <v/>
      </c>
      <c r="N121" s="191" t="str">
        <f>IF(M121="","",$B121*'AEO 2018_Table 13'!N$36/'AEO 2018_Table 13'!$C$36)</f>
        <v/>
      </c>
      <c r="O121" s="191" t="str">
        <f>IF(N121="","",$B121*'AEO 2018_Table 13'!O$36/'AEO 2018_Table 13'!$C$36)</f>
        <v/>
      </c>
      <c r="P121" s="191" t="str">
        <f>IF(O121="","",$B121*'AEO 2018_Table 13'!P$36/'AEO 2018_Table 13'!$C$36)</f>
        <v/>
      </c>
      <c r="Q121" s="191" t="str">
        <f>IF(P121="","",$B121*'AEO 2018_Table 13'!Q$36/'AEO 2018_Table 13'!$C$36)</f>
        <v/>
      </c>
      <c r="R121" s="191" t="str">
        <f>IF(Q121="","",$B121*'AEO 2018_Table 13'!R$36/'AEO 2018_Table 13'!$C$36)</f>
        <v/>
      </c>
      <c r="S121" s="191" t="str">
        <f>IF(R121="","",$B121*'AEO 2018_Table 13'!S$36/'AEO 2018_Table 13'!$C$36)</f>
        <v/>
      </c>
      <c r="T121" s="191" t="str">
        <f>IF(S121="","",$B121*'AEO 2018_Table 13'!T$36/'AEO 2018_Table 13'!$C$36)</f>
        <v/>
      </c>
      <c r="U121" s="191" t="str">
        <f>IF(T121="","",$B121*'AEO 2018_Table 13'!U$36/'AEO 2018_Table 13'!$C$36)</f>
        <v/>
      </c>
      <c r="V121" s="191" t="str">
        <f>IF(U121="","",$B121*'AEO 2018_Table 13'!V$36/'AEO 2018_Table 13'!$C$36)</f>
        <v/>
      </c>
      <c r="W121" s="191" t="str">
        <f>IF(V121="","",$B121*'AEO 2018_Table 13'!W$36/'AEO 2018_Table 13'!$C$36)</f>
        <v/>
      </c>
      <c r="X121" s="191" t="str">
        <f>IF(W121="","",$B121*'AEO 2018_Table 13'!X$36/'AEO 2018_Table 13'!$C$36)</f>
        <v/>
      </c>
      <c r="Y121" s="191" t="str">
        <f>IF(X121="","",$B121*'AEO 2018_Table 13'!Y$36/'AEO 2018_Table 13'!$C$36)</f>
        <v/>
      </c>
      <c r="Z121" s="191" t="str">
        <f>IF(Y121="","",$B121*'AEO 2018_Table 13'!Z$36/'AEO 2018_Table 13'!$C$36)</f>
        <v/>
      </c>
      <c r="AA121" s="191" t="str">
        <f>IF(Z121="","",$B121*'AEO 2018_Table 13'!AA$36/'AEO 2018_Table 13'!$C$36)</f>
        <v/>
      </c>
      <c r="AB121" s="191" t="str">
        <f>IF(AA121="","",$B121*'AEO 2018_Table 13'!AB$36/'AEO 2018_Table 13'!$C$36)</f>
        <v/>
      </c>
      <c r="AC121" s="191" t="str">
        <f>IF(AB121="","",$B121*'AEO 2018_Table 13'!AC$36/'AEO 2018_Table 13'!$C$36)</f>
        <v/>
      </c>
      <c r="AD121" s="191" t="str">
        <f>IF(AC121="","",$B121*'AEO 2018_Table 13'!AD$36/'AEO 2018_Table 13'!$C$36)</f>
        <v/>
      </c>
      <c r="AE121" s="191" t="str">
        <f>IF(AD121="","",$B121*'AEO 2018_Table 13'!AE$36/'AEO 2018_Table 13'!$C$36)</f>
        <v/>
      </c>
      <c r="AF121" s="191" t="str">
        <f>IF(AE121="","",$B121*'AEO 2018_Table 13'!AF$36/'AEO 2018_Table 13'!$C$36)</f>
        <v/>
      </c>
      <c r="AG121" s="191" t="str">
        <f>IF(AF121="","",$B121*'AEO 2018_Table 13'!AG$36/'AEO 2018_Table 13'!$C$36)</f>
        <v/>
      </c>
      <c r="AH121" s="191" t="str">
        <f>IF(AG121="","",$B121*'AEO 2018_Table 13'!AH$36/'AEO 2018_Table 13'!$C$36)</f>
        <v/>
      </c>
      <c r="AI121" s="191" t="str">
        <f>IF(AH121="","",$B121*'AEO 2018_Table 13'!AI$36/'AEO 2018_Table 13'!$C$36)</f>
        <v/>
      </c>
      <c r="AJ121" s="191" t="str">
        <f>IF(AI121="","",$B121*'AEO 2018_Table 13'!AJ$36/'AEO 2018_Table 13'!$C$36)</f>
        <v/>
      </c>
      <c r="AK121" s="191" t="str">
        <f>IF(AJ121="","",$B121*'AEO 2018_Table 13'!AK$36/'AEO 2018_Table 13'!$C$36)</f>
        <v/>
      </c>
    </row>
    <row r="122" spans="1:37" x14ac:dyDescent="0.25">
      <c r="A122" s="213" t="s">
        <v>1261</v>
      </c>
      <c r="B122" s="193">
        <v>251.96144183623005</v>
      </c>
      <c r="C122" s="193">
        <f>IF(B122="","",$B122*'AEO 2018_Table 13'!C$36/'AEO 2018_Table 13'!$C$36)</f>
        <v>251.96144183623005</v>
      </c>
      <c r="D122" s="193">
        <f>IF(C122="","",$B122*'AEO 2018_Table 13'!D$36/'AEO 2018_Table 13'!$C$36)</f>
        <v>227.49782548570818</v>
      </c>
      <c r="E122" s="193">
        <f>IF(D122="","",$B122*'AEO 2018_Table 13'!E$36/'AEO 2018_Table 13'!$C$36)</f>
        <v>238.2803145201373</v>
      </c>
      <c r="F122" s="193">
        <f>IF(E122="","",$B122*'AEO 2018_Table 13'!F$36/'AEO 2018_Table 13'!$C$36)</f>
        <v>244.14365479846276</v>
      </c>
      <c r="G122" s="193">
        <f>IF(F122="","",$B122*'AEO 2018_Table 13'!G$36/'AEO 2018_Table 13'!$C$36)</f>
        <v>244.96128605768237</v>
      </c>
      <c r="H122" s="193">
        <f>IF(G122="","",$B122*'AEO 2018_Table 13'!H$36/'AEO 2018_Table 13'!$C$36)</f>
        <v>243.7253749849628</v>
      </c>
      <c r="I122" s="193">
        <f>IF(H122="","",$B122*'AEO 2018_Table 13'!I$36/'AEO 2018_Table 13'!$C$36)</f>
        <v>245.85203277675953</v>
      </c>
      <c r="J122" s="193">
        <f>IF(I122="","",$B122*'AEO 2018_Table 13'!J$36/'AEO 2018_Table 13'!$C$36)</f>
        <v>247.91967859841739</v>
      </c>
      <c r="K122" s="193">
        <f>IF(J122="","",$B122*'AEO 2018_Table 13'!K$36/'AEO 2018_Table 13'!$C$36)</f>
        <v>249.73086359387429</v>
      </c>
      <c r="L122" s="193">
        <f>IF(K122="","",$B122*'AEO 2018_Table 13'!L$36/'AEO 2018_Table 13'!$C$36)</f>
        <v>251.09185035173095</v>
      </c>
      <c r="M122" s="193">
        <f>IF(L122="","",$B122*'AEO 2018_Table 13'!M$36/'AEO 2018_Table 13'!$C$36)</f>
        <v>249.98918014240672</v>
      </c>
      <c r="N122" s="193">
        <f>IF(M122="","",$B122*'AEO 2018_Table 13'!N$36/'AEO 2018_Table 13'!$C$36)</f>
        <v>251.07923143987739</v>
      </c>
      <c r="O122" s="193">
        <f>IF(N122="","",$B122*'AEO 2018_Table 13'!O$36/'AEO 2018_Table 13'!$C$36)</f>
        <v>252.0230518176329</v>
      </c>
      <c r="P122" s="193">
        <f>IF(O122="","",$B122*'AEO 2018_Table 13'!P$36/'AEO 2018_Table 13'!$C$36)</f>
        <v>252.55267497101755</v>
      </c>
      <c r="Q122" s="193">
        <f>IF(P122="","",$B122*'AEO 2018_Table 13'!Q$36/'AEO 2018_Table 13'!$C$36)</f>
        <v>251.9150487779448</v>
      </c>
      <c r="R122" s="193">
        <f>IF(Q122="","",$B122*'AEO 2018_Table 13'!R$36/'AEO 2018_Table 13'!$C$36)</f>
        <v>252.06016626426114</v>
      </c>
      <c r="S122" s="193">
        <f>IF(R122="","",$B122*'AEO 2018_Table 13'!S$36/'AEO 2018_Table 13'!$C$36)</f>
        <v>252.66772975556503</v>
      </c>
      <c r="T122" s="193">
        <f>IF(S122="","",$B122*'AEO 2018_Table 13'!T$36/'AEO 2018_Table 13'!$C$36)</f>
        <v>252.50887992399623</v>
      </c>
      <c r="U122" s="193">
        <f>IF(T122="","",$B122*'AEO 2018_Table 13'!U$36/'AEO 2018_Table 13'!$C$36)</f>
        <v>253.10642251471049</v>
      </c>
      <c r="V122" s="193">
        <f>IF(U122="","",$B122*'AEO 2018_Table 13'!V$36/'AEO 2018_Table 13'!$C$36)</f>
        <v>253.77077110935559</v>
      </c>
      <c r="W122" s="193">
        <f>IF(V122="","",$B122*'AEO 2018_Table 13'!W$36/'AEO 2018_Table 13'!$C$36)</f>
        <v>255.08536480892695</v>
      </c>
      <c r="X122" s="193">
        <f>IF(W122="","",$B122*'AEO 2018_Table 13'!X$36/'AEO 2018_Table 13'!$C$36)</f>
        <v>255.72187756860086</v>
      </c>
      <c r="Y122" s="193">
        <f>IF(X122="","",$B122*'AEO 2018_Table 13'!Y$36/'AEO 2018_Table 13'!$C$36)</f>
        <v>256.29344004667536</v>
      </c>
      <c r="Z122" s="193">
        <f>IF(Y122="","",$B122*'AEO 2018_Table 13'!Z$36/'AEO 2018_Table 13'!$C$36)</f>
        <v>256.93477768441096</v>
      </c>
      <c r="AA122" s="193">
        <f>IF(Z122="","",$B122*'AEO 2018_Table 13'!AA$36/'AEO 2018_Table 13'!$C$36)</f>
        <v>257.00343941067314</v>
      </c>
      <c r="AB122" s="193">
        <f>IF(AA122="","",$B122*'AEO 2018_Table 13'!AB$36/'AEO 2018_Table 13'!$C$36)</f>
        <v>257.55458894310215</v>
      </c>
      <c r="AC122" s="193">
        <f>IF(AB122="","",$B122*'AEO 2018_Table 13'!AC$36/'AEO 2018_Table 13'!$C$36)</f>
        <v>259.05623945367972</v>
      </c>
      <c r="AD122" s="193">
        <f>IF(AC122="","",$B122*'AEO 2018_Table 13'!AD$36/'AEO 2018_Table 13'!$C$36)</f>
        <v>260.51223919490462</v>
      </c>
      <c r="AE122" s="193">
        <f>IF(AD122="","",$B122*'AEO 2018_Table 13'!AE$36/'AEO 2018_Table 13'!$C$36)</f>
        <v>261.08343052851285</v>
      </c>
      <c r="AF122" s="193">
        <f>IF(AE122="","",$B122*'AEO 2018_Table 13'!AF$36/'AEO 2018_Table 13'!$C$36)</f>
        <v>262.34198141367563</v>
      </c>
      <c r="AG122" s="193">
        <f>IF(AF122="","",$B122*'AEO 2018_Table 13'!AG$36/'AEO 2018_Table 13'!$C$36)</f>
        <v>263.44613620086506</v>
      </c>
      <c r="AH122" s="193">
        <f>IF(AG122="","",$B122*'AEO 2018_Table 13'!AH$36/'AEO 2018_Table 13'!$C$36)</f>
        <v>263.87443691495469</v>
      </c>
      <c r="AI122" s="193">
        <f>IF(AH122="","",$B122*'AEO 2018_Table 13'!AI$36/'AEO 2018_Table 13'!$C$36)</f>
        <v>265.10255395388231</v>
      </c>
      <c r="AJ122" s="193">
        <f>IF(AI122="","",$B122*'AEO 2018_Table 13'!AJ$36/'AEO 2018_Table 13'!$C$36)</f>
        <v>266.09425196778824</v>
      </c>
      <c r="AK122" s="193">
        <f>IF(AJ122="","",$B122*'AEO 2018_Table 13'!AK$36/'AEO 2018_Table 13'!$C$36)</f>
        <v>267.66270848229664</v>
      </c>
    </row>
    <row r="123" spans="1:37" x14ac:dyDescent="0.25">
      <c r="A123" s="212" t="s">
        <v>1262</v>
      </c>
      <c r="B123" s="196">
        <v>1.4278517010199805</v>
      </c>
      <c r="C123" s="196">
        <f>IF(B123="","",$B123*'AEO 2018_Table 13'!C$36/'AEO 2018_Table 13'!$C$36)</f>
        <v>1.4278517010199805</v>
      </c>
      <c r="D123" s="196">
        <f>IF(C123="","",$B123*'AEO 2018_Table 13'!D$36/'AEO 2018_Table 13'!$C$36)</f>
        <v>1.2892177260568709</v>
      </c>
      <c r="E123" s="196">
        <f>IF(D123="","",$B123*'AEO 2018_Table 13'!E$36/'AEO 2018_Table 13'!$C$36)</f>
        <v>1.3503215012886618</v>
      </c>
      <c r="F123" s="196">
        <f>IF(E123="","",$B123*'AEO 2018_Table 13'!F$36/'AEO 2018_Table 13'!$C$36)</f>
        <v>1.3835487297449414</v>
      </c>
      <c r="G123" s="196">
        <f>IF(F123="","",$B123*'AEO 2018_Table 13'!G$36/'AEO 2018_Table 13'!$C$36)</f>
        <v>1.3881822013419274</v>
      </c>
      <c r="H123" s="196">
        <f>IF(G123="","",$B123*'AEO 2018_Table 13'!H$36/'AEO 2018_Table 13'!$C$36)</f>
        <v>1.381178360934318</v>
      </c>
      <c r="I123" s="196">
        <f>IF(H123="","",$B123*'AEO 2018_Table 13'!I$36/'AEO 2018_Table 13'!$C$36)</f>
        <v>1.3932300142483123</v>
      </c>
      <c r="J123" s="196">
        <f>IF(I123="","",$B123*'AEO 2018_Table 13'!J$36/'AEO 2018_Table 13'!$C$36)</f>
        <v>1.4049472499572586</v>
      </c>
      <c r="K123" s="196">
        <f>IF(J123="","",$B123*'AEO 2018_Table 13'!K$36/'AEO 2018_Table 13'!$C$36)</f>
        <v>1.4152111362002413</v>
      </c>
      <c r="L123" s="196">
        <f>IF(K123="","",$B123*'AEO 2018_Table 13'!L$36/'AEO 2018_Table 13'!$C$36)</f>
        <v>1.4229237736701221</v>
      </c>
      <c r="M123" s="196">
        <f>IF(L123="","",$B123*'AEO 2018_Table 13'!M$36/'AEO 2018_Table 13'!$C$36)</f>
        <v>1.4166750019430929</v>
      </c>
      <c r="N123" s="196">
        <f>IF(M123="","",$B123*'AEO 2018_Table 13'!N$36/'AEO 2018_Table 13'!$C$36)</f>
        <v>1.4228522629872817</v>
      </c>
      <c r="O123" s="196">
        <f>IF(N123="","",$B123*'AEO 2018_Table 13'!O$36/'AEO 2018_Table 13'!$C$36)</f>
        <v>1.4282008414126721</v>
      </c>
      <c r="P123" s="196">
        <f>IF(O123="","",$B123*'AEO 2018_Table 13'!P$36/'AEO 2018_Table 13'!$C$36)</f>
        <v>1.4312021868365938</v>
      </c>
      <c r="Q123" s="196">
        <f>IF(P123="","",$B123*'AEO 2018_Table 13'!Q$36/'AEO 2018_Table 13'!$C$36)</f>
        <v>1.4275887940977732</v>
      </c>
      <c r="R123" s="196">
        <f>IF(Q123="","",$B123*'AEO 2018_Table 13'!R$36/'AEO 2018_Table 13'!$C$36)</f>
        <v>1.4284111669504385</v>
      </c>
      <c r="S123" s="196">
        <f>IF(R123="","",$B123*'AEO 2018_Table 13'!S$36/'AEO 2018_Table 13'!$C$36)</f>
        <v>1.4318541960036684</v>
      </c>
      <c r="T123" s="196">
        <f>IF(S123="","",$B123*'AEO 2018_Table 13'!T$36/'AEO 2018_Table 13'!$C$36)</f>
        <v>1.4309540027020295</v>
      </c>
      <c r="U123" s="196">
        <f>IF(T123="","",$B123*'AEO 2018_Table 13'!U$36/'AEO 2018_Table 13'!$C$36)</f>
        <v>1.434340243860063</v>
      </c>
      <c r="V123" s="196">
        <f>IF(U123="","",$B123*'AEO 2018_Table 13'!V$36/'AEO 2018_Table 13'!$C$36)</f>
        <v>1.4381050709860752</v>
      </c>
      <c r="W123" s="196">
        <f>IF(V123="","",$B123*'AEO 2018_Table 13'!W$36/'AEO 2018_Table 13'!$C$36)</f>
        <v>1.4455548015337483</v>
      </c>
      <c r="X123" s="196">
        <f>IF(W123="","",$B123*'AEO 2018_Table 13'!X$36/'AEO 2018_Table 13'!$C$36)</f>
        <v>1.449161884506436</v>
      </c>
      <c r="Y123" s="196">
        <f>IF(X123="","",$B123*'AEO 2018_Table 13'!Y$36/'AEO 2018_Table 13'!$C$36)</f>
        <v>1.4524008977880332</v>
      </c>
      <c r="Z123" s="196">
        <f>IF(Y123="","",$B123*'AEO 2018_Table 13'!Z$36/'AEO 2018_Table 13'!$C$36)</f>
        <v>1.4560353230806304</v>
      </c>
      <c r="AA123" s="196">
        <f>IF(Z123="","",$B123*'AEO 2018_Table 13'!AA$36/'AEO 2018_Table 13'!$C$36)</f>
        <v>1.4564244253254977</v>
      </c>
      <c r="AB123" s="196">
        <f>IF(AA123="","",$B123*'AEO 2018_Table 13'!AB$36/'AEO 2018_Table 13'!$C$36)</f>
        <v>1.4595477595613233</v>
      </c>
      <c r="AC123" s="196">
        <f>IF(AB123="","",$B123*'AEO 2018_Table 13'!AC$36/'AEO 2018_Table 13'!$C$36)</f>
        <v>1.4680575308193373</v>
      </c>
      <c r="AD123" s="196">
        <f>IF(AC123="","",$B123*'AEO 2018_Table 13'!AD$36/'AEO 2018_Table 13'!$C$36)</f>
        <v>1.4763086016658993</v>
      </c>
      <c r="AE123" s="196">
        <f>IF(AD123="","",$B123*'AEO 2018_Table 13'!AE$36/'AEO 2018_Table 13'!$C$36)</f>
        <v>1.4795455116921188</v>
      </c>
      <c r="AF123" s="196">
        <f>IF(AE123="","",$B123*'AEO 2018_Table 13'!AF$36/'AEO 2018_Table 13'!$C$36)</f>
        <v>1.4866776506777653</v>
      </c>
      <c r="AG123" s="196">
        <f>IF(AF123="","",$B123*'AEO 2018_Table 13'!AG$36/'AEO 2018_Table 13'!$C$36)</f>
        <v>1.492934835426305</v>
      </c>
      <c r="AH123" s="196">
        <f>IF(AG123="","",$B123*'AEO 2018_Table 13'!AH$36/'AEO 2018_Table 13'!$C$36)</f>
        <v>1.4953619921321253</v>
      </c>
      <c r="AI123" s="196">
        <f>IF(AH123="","",$B123*'AEO 2018_Table 13'!AI$36/'AEO 2018_Table 13'!$C$36)</f>
        <v>1.5023216641768036</v>
      </c>
      <c r="AJ123" s="196">
        <f>IF(AI123="","",$B123*'AEO 2018_Table 13'!AJ$36/'AEO 2018_Table 13'!$C$36)</f>
        <v>1.5079415625459123</v>
      </c>
      <c r="AK123" s="196">
        <f>IF(AJ123="","",$B123*'AEO 2018_Table 13'!AK$36/'AEO 2018_Table 13'!$C$36)</f>
        <v>1.5168299197719051</v>
      </c>
    </row>
    <row r="124" spans="1:37" x14ac:dyDescent="0.25">
      <c r="A124" s="212" t="s">
        <v>1263</v>
      </c>
      <c r="B124" s="196">
        <v>22.363058381493651</v>
      </c>
      <c r="C124" s="196">
        <f>IF(B124="","",$B124*'AEO 2018_Table 13'!C$36/'AEO 2018_Table 13'!$C$36)</f>
        <v>22.363058381493651</v>
      </c>
      <c r="D124" s="196">
        <f>IF(C124="","",$B124*'AEO 2018_Table 13'!D$36/'AEO 2018_Table 13'!$C$36)</f>
        <v>20.191768692554756</v>
      </c>
      <c r="E124" s="196">
        <f>IF(D124="","",$B124*'AEO 2018_Table 13'!E$36/'AEO 2018_Table 13'!$C$36)</f>
        <v>21.148777947691038</v>
      </c>
      <c r="F124" s="196">
        <f>IF(E124="","",$B124*'AEO 2018_Table 13'!F$36/'AEO 2018_Table 13'!$C$36)</f>
        <v>21.669183847892157</v>
      </c>
      <c r="G124" s="196">
        <f>IF(F124="","",$B124*'AEO 2018_Table 13'!G$36/'AEO 2018_Table 13'!$C$36)</f>
        <v>21.741753426202266</v>
      </c>
      <c r="H124" s="196">
        <f>IF(G124="","",$B124*'AEO 2018_Table 13'!H$36/'AEO 2018_Table 13'!$C$36)</f>
        <v>21.632059056809318</v>
      </c>
      <c r="I124" s="196">
        <f>IF(H124="","",$B124*'AEO 2018_Table 13'!I$36/'AEO 2018_Table 13'!$C$36)</f>
        <v>21.820812431170154</v>
      </c>
      <c r="J124" s="196">
        <f>IF(I124="","",$B124*'AEO 2018_Table 13'!J$36/'AEO 2018_Table 13'!$C$36)</f>
        <v>22.004328146451861</v>
      </c>
      <c r="K124" s="196">
        <f>IF(J124="","",$B124*'AEO 2018_Table 13'!K$36/'AEO 2018_Table 13'!$C$36)</f>
        <v>22.165081456553235</v>
      </c>
      <c r="L124" s="196">
        <f>IF(K124="","",$B124*'AEO 2018_Table 13'!L$36/'AEO 2018_Table 13'!$C$36)</f>
        <v>22.285877027893751</v>
      </c>
      <c r="M124" s="196">
        <f>IF(L124="","",$B124*'AEO 2018_Table 13'!M$36/'AEO 2018_Table 13'!$C$36)</f>
        <v>22.188008567993922</v>
      </c>
      <c r="N124" s="196">
        <f>IF(M124="","",$B124*'AEO 2018_Table 13'!N$36/'AEO 2018_Table 13'!$C$36)</f>
        <v>22.284757025323373</v>
      </c>
      <c r="O124" s="196">
        <f>IF(N124="","",$B124*'AEO 2018_Table 13'!O$36/'AEO 2018_Table 13'!$C$36)</f>
        <v>22.368526629337264</v>
      </c>
      <c r="P124" s="196">
        <f>IF(O124="","",$B124*'AEO 2018_Table 13'!P$36/'AEO 2018_Table 13'!$C$36)</f>
        <v>22.415533796041089</v>
      </c>
      <c r="Q124" s="196">
        <f>IF(P124="","",$B124*'AEO 2018_Table 13'!Q$36/'AEO 2018_Table 13'!$C$36)</f>
        <v>22.358940724984912</v>
      </c>
      <c r="R124" s="196">
        <f>IF(Q124="","",$B124*'AEO 2018_Table 13'!R$36/'AEO 2018_Table 13'!$C$36)</f>
        <v>22.371820754544263</v>
      </c>
      <c r="S124" s="196">
        <f>IF(R124="","",$B124*'AEO 2018_Table 13'!S$36/'AEO 2018_Table 13'!$C$36)</f>
        <v>22.425745584182774</v>
      </c>
      <c r="T124" s="196">
        <f>IF(S124="","",$B124*'AEO 2018_Table 13'!T$36/'AEO 2018_Table 13'!$C$36)</f>
        <v>22.411646728296834</v>
      </c>
      <c r="U124" s="196">
        <f>IF(T124="","",$B124*'AEO 2018_Table 13'!U$36/'AEO 2018_Table 13'!$C$36)</f>
        <v>22.464682144129458</v>
      </c>
      <c r="V124" s="196">
        <f>IF(U124="","",$B124*'AEO 2018_Table 13'!V$36/'AEO 2018_Table 13'!$C$36)</f>
        <v>22.523646985334675</v>
      </c>
      <c r="W124" s="196">
        <f>IF(V124="","",$B124*'AEO 2018_Table 13'!W$36/'AEO 2018_Table 13'!$C$36)</f>
        <v>22.640324900166448</v>
      </c>
      <c r="X124" s="196">
        <f>IF(W124="","",$B124*'AEO 2018_Table 13'!X$36/'AEO 2018_Table 13'!$C$36)</f>
        <v>22.696819147466417</v>
      </c>
      <c r="Y124" s="196">
        <f>IF(X124="","",$B124*'AEO 2018_Table 13'!Y$36/'AEO 2018_Table 13'!$C$36)</f>
        <v>22.747548675654144</v>
      </c>
      <c r="Z124" s="196">
        <f>IF(Y124="","",$B124*'AEO 2018_Table 13'!Z$36/'AEO 2018_Table 13'!$C$36)</f>
        <v>22.804471159231028</v>
      </c>
      <c r="AA124" s="196">
        <f>IF(Z124="","",$B124*'AEO 2018_Table 13'!AA$36/'AEO 2018_Table 13'!$C$36)</f>
        <v>22.81056529086397</v>
      </c>
      <c r="AB124" s="196">
        <f>IF(AA124="","",$B124*'AEO 2018_Table 13'!AB$36/'AEO 2018_Table 13'!$C$36)</f>
        <v>22.859483050187848</v>
      </c>
      <c r="AC124" s="196">
        <f>IF(AB124="","",$B124*'AEO 2018_Table 13'!AC$36/'AEO 2018_Table 13'!$C$36)</f>
        <v>22.992763356062881</v>
      </c>
      <c r="AD124" s="196">
        <f>IF(AC124="","",$B124*'AEO 2018_Table 13'!AD$36/'AEO 2018_Table 13'!$C$36)</f>
        <v>23.121991887933305</v>
      </c>
      <c r="AE124" s="196">
        <f>IF(AD124="","",$B124*'AEO 2018_Table 13'!AE$36/'AEO 2018_Table 13'!$C$36)</f>
        <v>23.172688474868966</v>
      </c>
      <c r="AF124" s="196">
        <f>IF(AE124="","",$B124*'AEO 2018_Table 13'!AF$36/'AEO 2018_Table 13'!$C$36)</f>
        <v>23.284392260638175</v>
      </c>
      <c r="AG124" s="196">
        <f>IF(AF124="","",$B124*'AEO 2018_Table 13'!AG$36/'AEO 2018_Table 13'!$C$36)</f>
        <v>23.382392485546287</v>
      </c>
      <c r="AH124" s="196">
        <f>IF(AG124="","",$B124*'AEO 2018_Table 13'!AH$36/'AEO 2018_Table 13'!$C$36)</f>
        <v>23.420406690435012</v>
      </c>
      <c r="AI124" s="196">
        <f>IF(AH124="","",$B124*'AEO 2018_Table 13'!AI$36/'AEO 2018_Table 13'!$C$36)</f>
        <v>23.529409293534489</v>
      </c>
      <c r="AJ124" s="196">
        <f>IF(AI124="","",$B124*'AEO 2018_Table 13'!AJ$36/'AEO 2018_Table 13'!$C$36)</f>
        <v>23.617428319065404</v>
      </c>
      <c r="AK124" s="196">
        <f>IF(AJ124="","",$B124*'AEO 2018_Table 13'!AK$36/'AEO 2018_Table 13'!$C$36)</f>
        <v>23.756638050313022</v>
      </c>
    </row>
    <row r="125" spans="1:37" x14ac:dyDescent="0.25">
      <c r="A125" s="212" t="s">
        <v>1264</v>
      </c>
      <c r="B125" s="196">
        <v>0.18657274250570094</v>
      </c>
      <c r="C125" s="196">
        <f>IF(B125="","",$B125*'AEO 2018_Table 13'!C$36/'AEO 2018_Table 13'!$C$36)</f>
        <v>0.18657274250570097</v>
      </c>
      <c r="D125" s="196">
        <f>IF(C125="","",$B125*'AEO 2018_Table 13'!D$36/'AEO 2018_Table 13'!$C$36)</f>
        <v>0.16845789143618353</v>
      </c>
      <c r="E125" s="196">
        <f>IF(D125="","",$B125*'AEO 2018_Table 13'!E$36/'AEO 2018_Table 13'!$C$36)</f>
        <v>0.17644212321200689</v>
      </c>
      <c r="F125" s="196">
        <f>IF(E125="","",$B125*'AEO 2018_Table 13'!F$36/'AEO 2018_Table 13'!$C$36)</f>
        <v>0.18078381719501863</v>
      </c>
      <c r="G125" s="196">
        <f>IF(F125="","",$B125*'AEO 2018_Table 13'!G$36/'AEO 2018_Table 13'!$C$36)</f>
        <v>0.18138925787387514</v>
      </c>
      <c r="H125" s="196">
        <f>IF(G125="","",$B125*'AEO 2018_Table 13'!H$36/'AEO 2018_Table 13'!$C$36)</f>
        <v>0.18047408880415561</v>
      </c>
      <c r="I125" s="196">
        <f>IF(H125="","",$B125*'AEO 2018_Table 13'!I$36/'AEO 2018_Table 13'!$C$36)</f>
        <v>0.1820488391853847</v>
      </c>
      <c r="J125" s="196">
        <f>IF(I125="","",$B125*'AEO 2018_Table 13'!J$36/'AEO 2018_Table 13'!$C$36)</f>
        <v>0.18357989230472629</v>
      </c>
      <c r="K125" s="196">
        <f>IF(J125="","",$B125*'AEO 2018_Table 13'!K$36/'AEO 2018_Table 13'!$C$36)</f>
        <v>0.18492104097146242</v>
      </c>
      <c r="L125" s="196">
        <f>IF(K125="","",$B125*'AEO 2018_Table 13'!L$36/'AEO 2018_Table 13'!$C$36)</f>
        <v>0.18592882625033974</v>
      </c>
      <c r="M125" s="196">
        <f>IF(L125="","",$B125*'AEO 2018_Table 13'!M$36/'AEO 2018_Table 13'!$C$36)</f>
        <v>0.18511231955180016</v>
      </c>
      <c r="N125" s="196">
        <f>IF(M125="","",$B125*'AEO 2018_Table 13'!N$36/'AEO 2018_Table 13'!$C$36)</f>
        <v>0.18591948218176002</v>
      </c>
      <c r="O125" s="196">
        <f>IF(N125="","",$B125*'AEO 2018_Table 13'!O$36/'AEO 2018_Table 13'!$C$36)</f>
        <v>0.18661836354641367</v>
      </c>
      <c r="P125" s="196">
        <f>IF(O125="","",$B125*'AEO 2018_Table 13'!P$36/'AEO 2018_Table 13'!$C$36)</f>
        <v>0.18701053960121544</v>
      </c>
      <c r="Q125" s="196">
        <f>IF(P125="","",$B125*'AEO 2018_Table 13'!Q$36/'AEO 2018_Table 13'!$C$36)</f>
        <v>0.18653838931239317</v>
      </c>
      <c r="R125" s="196">
        <f>IF(Q125="","",$B125*'AEO 2018_Table 13'!R$36/'AEO 2018_Table 13'!$C$36)</f>
        <v>0.18664584610105994</v>
      </c>
      <c r="S125" s="196">
        <f>IF(R125="","",$B125*'AEO 2018_Table 13'!S$36/'AEO 2018_Table 13'!$C$36)</f>
        <v>0.18709573552061876</v>
      </c>
      <c r="T125" s="196">
        <f>IF(S125="","",$B125*'AEO 2018_Table 13'!T$36/'AEO 2018_Table 13'!$C$36)</f>
        <v>0.18697811018673285</v>
      </c>
      <c r="U125" s="196">
        <f>IF(T125="","",$B125*'AEO 2018_Table 13'!U$36/'AEO 2018_Table 13'!$C$36)</f>
        <v>0.18742057931653719</v>
      </c>
      <c r="V125" s="196">
        <f>IF(U125="","",$B125*'AEO 2018_Table 13'!V$36/'AEO 2018_Table 13'!$C$36)</f>
        <v>0.1879125170447048</v>
      </c>
      <c r="W125" s="196">
        <f>IF(V125="","",$B125*'AEO 2018_Table 13'!W$36/'AEO 2018_Table 13'!$C$36)</f>
        <v>0.18888594913027429</v>
      </c>
      <c r="X125" s="196">
        <f>IF(W125="","",$B125*'AEO 2018_Table 13'!X$36/'AEO 2018_Table 13'!$C$36)</f>
        <v>0.18935727494245716</v>
      </c>
      <c r="Y125" s="196">
        <f>IF(X125="","",$B125*'AEO 2018_Table 13'!Y$36/'AEO 2018_Table 13'!$C$36)</f>
        <v>0.18978050628400916</v>
      </c>
      <c r="Z125" s="196">
        <f>IF(Y125="","",$B125*'AEO 2018_Table 13'!Z$36/'AEO 2018_Table 13'!$C$36)</f>
        <v>0.19025540482829606</v>
      </c>
      <c r="AA125" s="196">
        <f>IF(Z125="","",$B125*'AEO 2018_Table 13'!AA$36/'AEO 2018_Table 13'!$C$36)</f>
        <v>0.1903062475543916</v>
      </c>
      <c r="AB125" s="196">
        <f>IF(AA125="","",$B125*'AEO 2018_Table 13'!AB$36/'AEO 2018_Table 13'!$C$36)</f>
        <v>0.19071436349088811</v>
      </c>
      <c r="AC125" s="196">
        <f>IF(AB125="","",$B125*'AEO 2018_Table 13'!AC$36/'AEO 2018_Table 13'!$C$36)</f>
        <v>0.19182630765187467</v>
      </c>
      <c r="AD125" s="196">
        <f>IF(AC125="","",$B125*'AEO 2018_Table 13'!AD$36/'AEO 2018_Table 13'!$C$36)</f>
        <v>0.19290444827064637</v>
      </c>
      <c r="AE125" s="196">
        <f>IF(AD125="","",$B125*'AEO 2018_Table 13'!AE$36/'AEO 2018_Table 13'!$C$36)</f>
        <v>0.19332740478665189</v>
      </c>
      <c r="AF125" s="196">
        <f>IF(AE125="","",$B125*'AEO 2018_Table 13'!AF$36/'AEO 2018_Table 13'!$C$36)</f>
        <v>0.19425933821470562</v>
      </c>
      <c r="AG125" s="196">
        <f>IF(AF125="","",$B125*'AEO 2018_Table 13'!AG$36/'AEO 2018_Table 13'!$C$36)</f>
        <v>0.19507694421543101</v>
      </c>
      <c r="AH125" s="196">
        <f>IF(AG125="","",$B125*'AEO 2018_Table 13'!AH$36/'AEO 2018_Table 13'!$C$36)</f>
        <v>0.19539409289604856</v>
      </c>
      <c r="AI125" s="196">
        <f>IF(AH125="","",$B125*'AEO 2018_Table 13'!AI$36/'AEO 2018_Table 13'!$C$36)</f>
        <v>0.19630349062929234</v>
      </c>
      <c r="AJ125" s="196">
        <f>IF(AI125="","",$B125*'AEO 2018_Table 13'!AJ$36/'AEO 2018_Table 13'!$C$36)</f>
        <v>0.19703782448943966</v>
      </c>
      <c r="AK125" s="196">
        <f>IF(AJ125="","",$B125*'AEO 2018_Table 13'!AK$36/'AEO 2018_Table 13'!$C$36)</f>
        <v>0.19819923724878946</v>
      </c>
    </row>
    <row r="126" spans="1:37" x14ac:dyDescent="0.25">
      <c r="A126" s="212" t="s">
        <v>1265</v>
      </c>
      <c r="B126" s="196">
        <v>12.329776335383642</v>
      </c>
      <c r="C126" s="196">
        <f>IF(B126="","",$B126*'AEO 2018_Table 13'!C$36/'AEO 2018_Table 13'!$C$36)</f>
        <v>12.329776335383642</v>
      </c>
      <c r="D126" s="196">
        <f>IF(C126="","",$B126*'AEO 2018_Table 13'!D$36/'AEO 2018_Table 13'!$C$36)</f>
        <v>11.132645076892816</v>
      </c>
      <c r="E126" s="196">
        <f>IF(D126="","",$B126*'AEO 2018_Table 13'!E$36/'AEO 2018_Table 13'!$C$36)</f>
        <v>11.660288025608953</v>
      </c>
      <c r="F126" s="196">
        <f>IF(E126="","",$B126*'AEO 2018_Table 13'!F$36/'AEO 2018_Table 13'!$C$36)</f>
        <v>11.947211586940963</v>
      </c>
      <c r="G126" s="196">
        <f>IF(F126="","",$B126*'AEO 2018_Table 13'!G$36/'AEO 2018_Table 13'!$C$36)</f>
        <v>11.98722251272995</v>
      </c>
      <c r="H126" s="196">
        <f>IF(G126="","",$B126*'AEO 2018_Table 13'!H$36/'AEO 2018_Table 13'!$C$36)</f>
        <v>11.926742992585908</v>
      </c>
      <c r="I126" s="196">
        <f>IF(H126="","",$B126*'AEO 2018_Table 13'!I$36/'AEO 2018_Table 13'!$C$36)</f>
        <v>12.030811356077008</v>
      </c>
      <c r="J126" s="196">
        <f>IF(I126="","",$B126*'AEO 2018_Table 13'!J$36/'AEO 2018_Table 13'!$C$36)</f>
        <v>12.131991958696368</v>
      </c>
      <c r="K126" s="196">
        <f>IF(J126="","",$B126*'AEO 2018_Table 13'!K$36/'AEO 2018_Table 13'!$C$36)</f>
        <v>12.220622606835384</v>
      </c>
      <c r="L126" s="196">
        <f>IF(K126="","",$B126*'AEO 2018_Table 13'!L$36/'AEO 2018_Table 13'!$C$36)</f>
        <v>12.287222727066075</v>
      </c>
      <c r="M126" s="196">
        <f>IF(L126="","",$B126*'AEO 2018_Table 13'!M$36/'AEO 2018_Table 13'!$C$36)</f>
        <v>12.233263371406032</v>
      </c>
      <c r="N126" s="196">
        <f>IF(M126="","",$B126*'AEO 2018_Table 13'!N$36/'AEO 2018_Table 13'!$C$36)</f>
        <v>12.286605218451994</v>
      </c>
      <c r="O126" s="196">
        <f>IF(N126="","",$B126*'AEO 2018_Table 13'!O$36/'AEO 2018_Table 13'!$C$36)</f>
        <v>12.332791230381812</v>
      </c>
      <c r="P126" s="196">
        <f>IF(O126="","",$B126*'AEO 2018_Table 13'!P$36/'AEO 2018_Table 13'!$C$36)</f>
        <v>12.358708430155254</v>
      </c>
      <c r="Q126" s="196">
        <f>IF(P126="","",$B126*'AEO 2018_Table 13'!Q$36/'AEO 2018_Table 13'!$C$36)</f>
        <v>12.327506083125984</v>
      </c>
      <c r="R126" s="196">
        <f>IF(Q126="","",$B126*'AEO 2018_Table 13'!R$36/'AEO 2018_Table 13'!$C$36)</f>
        <v>12.334607432187942</v>
      </c>
      <c r="S126" s="196">
        <f>IF(R126="","",$B126*'AEO 2018_Table 13'!S$36/'AEO 2018_Table 13'!$C$36)</f>
        <v>12.364338655754249</v>
      </c>
      <c r="T126" s="196">
        <f>IF(S126="","",$B126*'AEO 2018_Table 13'!T$36/'AEO 2018_Table 13'!$C$36)</f>
        <v>12.356565312024022</v>
      </c>
      <c r="U126" s="196">
        <f>IF(T126="","",$B126*'AEO 2018_Table 13'!U$36/'AEO 2018_Table 13'!$C$36)</f>
        <v>12.385806161102673</v>
      </c>
      <c r="V126" s="196">
        <f>IF(U126="","",$B126*'AEO 2018_Table 13'!V$36/'AEO 2018_Table 13'!$C$36)</f>
        <v>12.418316173432354</v>
      </c>
      <c r="W126" s="196">
        <f>IF(V126="","",$B126*'AEO 2018_Table 13'!W$36/'AEO 2018_Table 13'!$C$36)</f>
        <v>12.482646041405387</v>
      </c>
      <c r="X126" s="196">
        <f>IF(W126="","",$B126*'AEO 2018_Table 13'!X$36/'AEO 2018_Table 13'!$C$36)</f>
        <v>12.513793902380472</v>
      </c>
      <c r="Y126" s="196">
        <f>IF(X126="","",$B126*'AEO 2018_Table 13'!Y$36/'AEO 2018_Table 13'!$C$36)</f>
        <v>12.541763410194834</v>
      </c>
      <c r="Z126" s="196">
        <f>IF(Y126="","",$B126*'AEO 2018_Table 13'!Z$36/'AEO 2018_Table 13'!$C$36)</f>
        <v>12.573147377404718</v>
      </c>
      <c r="AA126" s="196">
        <f>IF(Z126="","",$B126*'AEO 2018_Table 13'!AA$36/'AEO 2018_Table 13'!$C$36)</f>
        <v>12.576507350746052</v>
      </c>
      <c r="AB126" s="196">
        <f>IF(AA126="","",$B126*'AEO 2018_Table 13'!AB$36/'AEO 2018_Table 13'!$C$36)</f>
        <v>12.603477947567043</v>
      </c>
      <c r="AC126" s="196">
        <f>IF(AB126="","",$B126*'AEO 2018_Table 13'!AC$36/'AEO 2018_Table 13'!$C$36)</f>
        <v>12.676961472642958</v>
      </c>
      <c r="AD126" s="196">
        <f>IF(AC126="","",$B126*'AEO 2018_Table 13'!AD$36/'AEO 2018_Table 13'!$C$36)</f>
        <v>12.748211069497337</v>
      </c>
      <c r="AE126" s="196">
        <f>IF(AD126="","",$B126*'AEO 2018_Table 13'!AE$36/'AEO 2018_Table 13'!$C$36)</f>
        <v>12.776162415293641</v>
      </c>
      <c r="AF126" s="196">
        <f>IF(AE126="","",$B126*'AEO 2018_Table 13'!AF$36/'AEO 2018_Table 13'!$C$36)</f>
        <v>12.83774981853942</v>
      </c>
      <c r="AG126" s="196">
        <f>IF(AF126="","",$B126*'AEO 2018_Table 13'!AG$36/'AEO 2018_Table 13'!$C$36)</f>
        <v>12.89178182227171</v>
      </c>
      <c r="AH126" s="196">
        <f>IF(AG126="","",$B126*'AEO 2018_Table 13'!AH$36/'AEO 2018_Table 13'!$C$36)</f>
        <v>12.912740791114421</v>
      </c>
      <c r="AI126" s="196">
        <f>IF(AH126="","",$B126*'AEO 2018_Table 13'!AI$36/'AEO 2018_Table 13'!$C$36)</f>
        <v>12.972838908879179</v>
      </c>
      <c r="AJ126" s="196">
        <f>IF(AI126="","",$B126*'AEO 2018_Table 13'!AJ$36/'AEO 2018_Table 13'!$C$36)</f>
        <v>13.021367821138904</v>
      </c>
      <c r="AK126" s="196">
        <f>IF(AJ126="","",$B126*'AEO 2018_Table 13'!AK$36/'AEO 2018_Table 13'!$C$36)</f>
        <v>13.098120509465847</v>
      </c>
    </row>
    <row r="127" spans="1:37" x14ac:dyDescent="0.25">
      <c r="A127" s="206" t="s">
        <v>1266</v>
      </c>
      <c r="B127" s="238">
        <v>3.4529262723160922E-3</v>
      </c>
      <c r="C127" s="238">
        <f>IF(B127="","",$B127*'AEO 2018_Table 13'!C$36/'AEO 2018_Table 13'!$C$36)</f>
        <v>3.4529262723160927E-3</v>
      </c>
      <c r="D127" s="238">
        <f>IF(C127="","",$B127*'AEO 2018_Table 13'!D$36/'AEO 2018_Table 13'!$C$36)</f>
        <v>3.1176723422029163E-3</v>
      </c>
      <c r="E127" s="238">
        <f>IF(D127="","",$B127*'AEO 2018_Table 13'!E$36/'AEO 2018_Table 13'!$C$36)</f>
        <v>3.2654375692813516E-3</v>
      </c>
      <c r="F127" s="238">
        <f>IF(E127="","",$B127*'AEO 2018_Table 13'!F$36/'AEO 2018_Table 13'!$C$36)</f>
        <v>3.3457898705819547E-3</v>
      </c>
      <c r="G127" s="238">
        <f>IF(F127="","",$B127*'AEO 2018_Table 13'!G$36/'AEO 2018_Table 13'!$C$36)</f>
        <v>3.3569948408164927E-3</v>
      </c>
      <c r="H127" s="238">
        <f>IF(G127="","",$B127*'AEO 2018_Table 13'!H$36/'AEO 2018_Table 13'!$C$36)</f>
        <v>3.3400576865355073E-3</v>
      </c>
      <c r="I127" s="238">
        <f>IF(H127="","",$B127*'AEO 2018_Table 13'!I$36/'AEO 2018_Table 13'!$C$36)</f>
        <v>3.3692017988568427E-3</v>
      </c>
      <c r="J127" s="238">
        <f>IF(I127="","",$B127*'AEO 2018_Table 13'!J$36/'AEO 2018_Table 13'!$C$36)</f>
        <v>3.3975372002080051E-3</v>
      </c>
      <c r="K127" s="238">
        <f>IF(J127="","",$B127*'AEO 2018_Table 13'!K$36/'AEO 2018_Table 13'!$C$36)</f>
        <v>3.4223580148900492E-3</v>
      </c>
      <c r="L127" s="238">
        <f>IF(K127="","",$B127*'AEO 2018_Table 13'!L$36/'AEO 2018_Table 13'!$C$36)</f>
        <v>3.4410092295292008E-3</v>
      </c>
      <c r="M127" s="238">
        <f>IF(L127="","",$B127*'AEO 2018_Table 13'!M$36/'AEO 2018_Table 13'!$C$36)</f>
        <v>3.4258980327217508E-3</v>
      </c>
      <c r="N127" s="238">
        <f>IF(M127="","",$B127*'AEO 2018_Table 13'!N$36/'AEO 2018_Table 13'!$C$36)</f>
        <v>3.4408362976236289E-3</v>
      </c>
      <c r="O127" s="238">
        <f>IF(N127="","",$B127*'AEO 2018_Table 13'!O$36/'AEO 2018_Table 13'!$C$36)</f>
        <v>3.453770586913883E-3</v>
      </c>
      <c r="P127" s="238">
        <f>IF(O127="","",$B127*'AEO 2018_Table 13'!P$36/'AEO 2018_Table 13'!$C$36)</f>
        <v>3.4610286407153745E-3</v>
      </c>
      <c r="Q127" s="238">
        <f>IF(P127="","",$B127*'AEO 2018_Table 13'!Q$36/'AEO 2018_Table 13'!$C$36)</f>
        <v>3.4522904932514907E-3</v>
      </c>
      <c r="R127" s="238">
        <f>IF(Q127="","",$B127*'AEO 2018_Table 13'!R$36/'AEO 2018_Table 13'!$C$36)</f>
        <v>3.4542792101655653E-3</v>
      </c>
      <c r="S127" s="238">
        <f>IF(R127="","",$B127*'AEO 2018_Table 13'!S$36/'AEO 2018_Table 13'!$C$36)</f>
        <v>3.4626053727955866E-3</v>
      </c>
      <c r="T127" s="238">
        <f>IF(S127="","",$B127*'AEO 2018_Table 13'!T$36/'AEO 2018_Table 13'!$C$36)</f>
        <v>3.4604284652783902E-3</v>
      </c>
      <c r="U127" s="238">
        <f>IF(T127="","",$B127*'AEO 2018_Table 13'!U$36/'AEO 2018_Table 13'!$C$36)</f>
        <v>3.4686172996304591E-3</v>
      </c>
      <c r="V127" s="238">
        <f>IF(U127="","",$B127*'AEO 2018_Table 13'!V$36/'AEO 2018_Table 13'!$C$36)</f>
        <v>3.477721655835553E-3</v>
      </c>
      <c r="W127" s="238">
        <f>IF(V127="","",$B127*'AEO 2018_Table 13'!W$36/'AEO 2018_Table 13'!$C$36)</f>
        <v>3.4957370914101031E-3</v>
      </c>
      <c r="X127" s="238">
        <f>IF(W127="","",$B127*'AEO 2018_Table 13'!X$36/'AEO 2018_Table 13'!$C$36)</f>
        <v>3.5044599801764362E-3</v>
      </c>
      <c r="Y127" s="238">
        <f>IF(X127="","",$B127*'AEO 2018_Table 13'!Y$36/'AEO 2018_Table 13'!$C$36)</f>
        <v>3.5122927782523274E-3</v>
      </c>
      <c r="Z127" s="238">
        <f>IF(Y127="","",$B127*'AEO 2018_Table 13'!Z$36/'AEO 2018_Table 13'!$C$36)</f>
        <v>3.5210817880413797E-3</v>
      </c>
      <c r="AA127" s="238">
        <f>IF(Z127="","",$B127*'AEO 2018_Table 13'!AA$36/'AEO 2018_Table 13'!$C$36)</f>
        <v>3.5220227410569902E-3</v>
      </c>
      <c r="AB127" s="238">
        <f>IF(AA127="","",$B127*'AEO 2018_Table 13'!AB$36/'AEO 2018_Table 13'!$C$36)</f>
        <v>3.5295757963444562E-3</v>
      </c>
      <c r="AC127" s="238">
        <f>IF(AB127="","",$B127*'AEO 2018_Table 13'!AC$36/'AEO 2018_Table 13'!$C$36)</f>
        <v>3.5501546931074792E-3</v>
      </c>
      <c r="AD127" s="238">
        <f>IF(AC127="","",$B127*'AEO 2018_Table 13'!AD$36/'AEO 2018_Table 13'!$C$36)</f>
        <v>3.5701079832709346E-3</v>
      </c>
      <c r="AE127" s="238">
        <f>IF(AD127="","",$B127*'AEO 2018_Table 13'!AE$36/'AEO 2018_Table 13'!$C$36)</f>
        <v>3.5779356951143098E-3</v>
      </c>
      <c r="AF127" s="238">
        <f>IF(AE127="","",$B127*'AEO 2018_Table 13'!AF$36/'AEO 2018_Table 13'!$C$36)</f>
        <v>3.59518310957882E-3</v>
      </c>
      <c r="AG127" s="238">
        <f>IF(AF127="","",$B127*'AEO 2018_Table 13'!AG$36/'AEO 2018_Table 13'!$C$36)</f>
        <v>3.6103146513163376E-3</v>
      </c>
      <c r="AH127" s="238">
        <f>IF(AG127="","",$B127*'AEO 2018_Table 13'!AH$36/'AEO 2018_Table 13'!$C$36)</f>
        <v>3.6161841636407387E-3</v>
      </c>
      <c r="AI127" s="238">
        <f>IF(AH127="","",$B127*'AEO 2018_Table 13'!AI$36/'AEO 2018_Table 13'!$C$36)</f>
        <v>3.6330145070388709E-3</v>
      </c>
      <c r="AJ127" s="238">
        <f>IF(AI127="","",$B127*'AEO 2018_Table 13'!AJ$36/'AEO 2018_Table 13'!$C$36)</f>
        <v>3.6466049203237945E-3</v>
      </c>
      <c r="AK127" s="238">
        <f>IF(AJ127="","",$B127*'AEO 2018_Table 13'!AK$36/'AEO 2018_Table 13'!$C$36)</f>
        <v>3.6680993389398434E-3</v>
      </c>
    </row>
    <row r="128" spans="1:37" x14ac:dyDescent="0.25">
      <c r="A128" s="207" t="s">
        <v>1267</v>
      </c>
      <c r="B128" s="191"/>
      <c r="C128" s="191" t="str">
        <f>IF(B128="","",$B128*'AEO 2018_Table 13'!C$36/'AEO 2018_Table 13'!$C$36)</f>
        <v/>
      </c>
      <c r="D128" s="191" t="str">
        <f>IF(C128="","",$B128*'AEO 2018_Table 13'!D$36/'AEO 2018_Table 13'!$C$36)</f>
        <v/>
      </c>
      <c r="E128" s="191" t="str">
        <f>IF(D128="","",$B128*'AEO 2018_Table 13'!E$36/'AEO 2018_Table 13'!$C$36)</f>
        <v/>
      </c>
      <c r="F128" s="191" t="str">
        <f>IF(E128="","",$B128*'AEO 2018_Table 13'!F$36/'AEO 2018_Table 13'!$C$36)</f>
        <v/>
      </c>
      <c r="G128" s="191" t="str">
        <f>IF(F128="","",$B128*'AEO 2018_Table 13'!G$36/'AEO 2018_Table 13'!$C$36)</f>
        <v/>
      </c>
      <c r="H128" s="191" t="str">
        <f>IF(G128="","",$B128*'AEO 2018_Table 13'!H$36/'AEO 2018_Table 13'!$C$36)</f>
        <v/>
      </c>
      <c r="I128" s="191" t="str">
        <f>IF(H128="","",$B128*'AEO 2018_Table 13'!I$36/'AEO 2018_Table 13'!$C$36)</f>
        <v/>
      </c>
      <c r="J128" s="191" t="str">
        <f>IF(I128="","",$B128*'AEO 2018_Table 13'!J$36/'AEO 2018_Table 13'!$C$36)</f>
        <v/>
      </c>
      <c r="K128" s="191" t="str">
        <f>IF(J128="","",$B128*'AEO 2018_Table 13'!K$36/'AEO 2018_Table 13'!$C$36)</f>
        <v/>
      </c>
      <c r="L128" s="191" t="str">
        <f>IF(K128="","",$B128*'AEO 2018_Table 13'!L$36/'AEO 2018_Table 13'!$C$36)</f>
        <v/>
      </c>
      <c r="M128" s="191" t="str">
        <f>IF(L128="","",$B128*'AEO 2018_Table 13'!M$36/'AEO 2018_Table 13'!$C$36)</f>
        <v/>
      </c>
      <c r="N128" s="191" t="str">
        <f>IF(M128="","",$B128*'AEO 2018_Table 13'!N$36/'AEO 2018_Table 13'!$C$36)</f>
        <v/>
      </c>
      <c r="O128" s="191" t="str">
        <f>IF(N128="","",$B128*'AEO 2018_Table 13'!O$36/'AEO 2018_Table 13'!$C$36)</f>
        <v/>
      </c>
      <c r="P128" s="191" t="str">
        <f>IF(O128="","",$B128*'AEO 2018_Table 13'!P$36/'AEO 2018_Table 13'!$C$36)</f>
        <v/>
      </c>
      <c r="Q128" s="191" t="str">
        <f>IF(P128="","",$B128*'AEO 2018_Table 13'!Q$36/'AEO 2018_Table 13'!$C$36)</f>
        <v/>
      </c>
      <c r="R128" s="191" t="str">
        <f>IF(Q128="","",$B128*'AEO 2018_Table 13'!R$36/'AEO 2018_Table 13'!$C$36)</f>
        <v/>
      </c>
      <c r="S128" s="191" t="str">
        <f>IF(R128="","",$B128*'AEO 2018_Table 13'!S$36/'AEO 2018_Table 13'!$C$36)</f>
        <v/>
      </c>
      <c r="T128" s="191" t="str">
        <f>IF(S128="","",$B128*'AEO 2018_Table 13'!T$36/'AEO 2018_Table 13'!$C$36)</f>
        <v/>
      </c>
      <c r="U128" s="191" t="str">
        <f>IF(T128="","",$B128*'AEO 2018_Table 13'!U$36/'AEO 2018_Table 13'!$C$36)</f>
        <v/>
      </c>
      <c r="V128" s="191" t="str">
        <f>IF(U128="","",$B128*'AEO 2018_Table 13'!V$36/'AEO 2018_Table 13'!$C$36)</f>
        <v/>
      </c>
      <c r="W128" s="191" t="str">
        <f>IF(V128="","",$B128*'AEO 2018_Table 13'!W$36/'AEO 2018_Table 13'!$C$36)</f>
        <v/>
      </c>
      <c r="X128" s="191" t="str">
        <f>IF(W128="","",$B128*'AEO 2018_Table 13'!X$36/'AEO 2018_Table 13'!$C$36)</f>
        <v/>
      </c>
      <c r="Y128" s="191" t="str">
        <f>IF(X128="","",$B128*'AEO 2018_Table 13'!Y$36/'AEO 2018_Table 13'!$C$36)</f>
        <v/>
      </c>
      <c r="Z128" s="191" t="str">
        <f>IF(Y128="","",$B128*'AEO 2018_Table 13'!Z$36/'AEO 2018_Table 13'!$C$36)</f>
        <v/>
      </c>
      <c r="AA128" s="191" t="str">
        <f>IF(Z128="","",$B128*'AEO 2018_Table 13'!AA$36/'AEO 2018_Table 13'!$C$36)</f>
        <v/>
      </c>
      <c r="AB128" s="191" t="str">
        <f>IF(AA128="","",$B128*'AEO 2018_Table 13'!AB$36/'AEO 2018_Table 13'!$C$36)</f>
        <v/>
      </c>
      <c r="AC128" s="191" t="str">
        <f>IF(AB128="","",$B128*'AEO 2018_Table 13'!AC$36/'AEO 2018_Table 13'!$C$36)</f>
        <v/>
      </c>
      <c r="AD128" s="191" t="str">
        <f>IF(AC128="","",$B128*'AEO 2018_Table 13'!AD$36/'AEO 2018_Table 13'!$C$36)</f>
        <v/>
      </c>
      <c r="AE128" s="191" t="str">
        <f>IF(AD128="","",$B128*'AEO 2018_Table 13'!AE$36/'AEO 2018_Table 13'!$C$36)</f>
        <v/>
      </c>
      <c r="AF128" s="191" t="str">
        <f>IF(AE128="","",$B128*'AEO 2018_Table 13'!AF$36/'AEO 2018_Table 13'!$C$36)</f>
        <v/>
      </c>
      <c r="AG128" s="191" t="str">
        <f>IF(AF128="","",$B128*'AEO 2018_Table 13'!AG$36/'AEO 2018_Table 13'!$C$36)</f>
        <v/>
      </c>
      <c r="AH128" s="191" t="str">
        <f>IF(AG128="","",$B128*'AEO 2018_Table 13'!AH$36/'AEO 2018_Table 13'!$C$36)</f>
        <v/>
      </c>
      <c r="AI128" s="191" t="str">
        <f>IF(AH128="","",$B128*'AEO 2018_Table 13'!AI$36/'AEO 2018_Table 13'!$C$36)</f>
        <v/>
      </c>
      <c r="AJ128" s="191" t="str">
        <f>IF(AI128="","",$B128*'AEO 2018_Table 13'!AJ$36/'AEO 2018_Table 13'!$C$36)</f>
        <v/>
      </c>
      <c r="AK128" s="191" t="str">
        <f>IF(AJ128="","",$B128*'AEO 2018_Table 13'!AK$36/'AEO 2018_Table 13'!$C$36)</f>
        <v/>
      </c>
    </row>
    <row r="129" spans="1:37" x14ac:dyDescent="0.25">
      <c r="A129" s="213" t="s">
        <v>1268</v>
      </c>
      <c r="B129" s="193">
        <v>29.576821119999973</v>
      </c>
      <c r="C129" s="193">
        <f>IF(B129="","",$B129*'AEO 2018_Table 13'!C$36/'AEO 2018_Table 13'!$C$36)</f>
        <v>29.57682111999997</v>
      </c>
      <c r="D129" s="193">
        <f>IF(C129="","",$B129*'AEO 2018_Table 13'!D$36/'AEO 2018_Table 13'!$C$36)</f>
        <v>26.705127739161213</v>
      </c>
      <c r="E129" s="193">
        <f>IF(D129="","",$B129*'AEO 2018_Table 13'!E$36/'AEO 2018_Table 13'!$C$36)</f>
        <v>27.970844219728733</v>
      </c>
      <c r="F129" s="193">
        <f>IF(E129="","",$B129*'AEO 2018_Table 13'!F$36/'AEO 2018_Table 13'!$C$36)</f>
        <v>28.659120034130691</v>
      </c>
      <c r="G129" s="193">
        <f>IF(F129="","",$B129*'AEO 2018_Table 13'!G$36/'AEO 2018_Table 13'!$C$36)</f>
        <v>28.755098741506792</v>
      </c>
      <c r="H129" s="193">
        <f>IF(G129="","",$B129*'AEO 2018_Table 13'!H$36/'AEO 2018_Table 13'!$C$36)</f>
        <v>28.610019714923773</v>
      </c>
      <c r="I129" s="193">
        <f>IF(H129="","",$B129*'AEO 2018_Table 13'!I$36/'AEO 2018_Table 13'!$C$36)</f>
        <v>28.859660202107165</v>
      </c>
      <c r="J129" s="193">
        <f>IF(I129="","",$B129*'AEO 2018_Table 13'!J$36/'AEO 2018_Table 13'!$C$36)</f>
        <v>29.102373492525778</v>
      </c>
      <c r="K129" s="193">
        <f>IF(J129="","",$B129*'AEO 2018_Table 13'!K$36/'AEO 2018_Table 13'!$C$36)</f>
        <v>29.31498179574654</v>
      </c>
      <c r="L129" s="193">
        <f>IF(K129="","",$B129*'AEO 2018_Table 13'!L$36/'AEO 2018_Table 13'!$C$36)</f>
        <v>29.47474299408886</v>
      </c>
      <c r="M129" s="193">
        <f>IF(L129="","",$B129*'AEO 2018_Table 13'!M$36/'AEO 2018_Table 13'!$C$36)</f>
        <v>29.34530461932065</v>
      </c>
      <c r="N129" s="193">
        <f>IF(M129="","",$B129*'AEO 2018_Table 13'!N$36/'AEO 2018_Table 13'!$C$36)</f>
        <v>29.473261706730355</v>
      </c>
      <c r="O129" s="193">
        <f>IF(N129="","",$B129*'AEO 2018_Table 13'!O$36/'AEO 2018_Table 13'!$C$36)</f>
        <v>29.584053287691496</v>
      </c>
      <c r="P129" s="193">
        <f>IF(O129="","",$B129*'AEO 2018_Table 13'!P$36/'AEO 2018_Table 13'!$C$36)</f>
        <v>29.646223789473474</v>
      </c>
      <c r="Q129" s="193">
        <f>IF(P129="","",$B129*'AEO 2018_Table 13'!Q$36/'AEO 2018_Table 13'!$C$36)</f>
        <v>29.571375210593708</v>
      </c>
      <c r="R129" s="193">
        <f>IF(Q129="","",$B129*'AEO 2018_Table 13'!R$36/'AEO 2018_Table 13'!$C$36)</f>
        <v>29.588410015216521</v>
      </c>
      <c r="S129" s="193">
        <f>IF(R129="","",$B129*'AEO 2018_Table 13'!S$36/'AEO 2018_Table 13'!$C$36)</f>
        <v>29.659729644801025</v>
      </c>
      <c r="T129" s="193">
        <f>IF(S129="","",$B129*'AEO 2018_Table 13'!T$36/'AEO 2018_Table 13'!$C$36)</f>
        <v>29.641082850993953</v>
      </c>
      <c r="U129" s="193">
        <f>IF(T129="","",$B129*'AEO 2018_Table 13'!U$36/'AEO 2018_Table 13'!$C$36)</f>
        <v>29.711226164146705</v>
      </c>
      <c r="V129" s="193">
        <f>IF(U129="","",$B129*'AEO 2018_Table 13'!V$36/'AEO 2018_Table 13'!$C$36)</f>
        <v>29.789211586844484</v>
      </c>
      <c r="W129" s="193">
        <f>IF(V129="","",$B129*'AEO 2018_Table 13'!W$36/'AEO 2018_Table 13'!$C$36)</f>
        <v>29.943526875780535</v>
      </c>
      <c r="X129" s="193">
        <f>IF(W129="","",$B129*'AEO 2018_Table 13'!X$36/'AEO 2018_Table 13'!$C$36)</f>
        <v>30.018244752834551</v>
      </c>
      <c r="Y129" s="193">
        <f>IF(X129="","",$B129*'AEO 2018_Table 13'!Y$36/'AEO 2018_Table 13'!$C$36)</f>
        <v>30.085338356719792</v>
      </c>
      <c r="Z129" s="193">
        <f>IF(Y129="","",$B129*'AEO 2018_Table 13'!Z$36/'AEO 2018_Table 13'!$C$36)</f>
        <v>30.160622608352064</v>
      </c>
      <c r="AA129" s="193">
        <f>IF(Z129="","",$B129*'AEO 2018_Table 13'!AA$36/'AEO 2018_Table 13'!$C$36)</f>
        <v>30.168682554273339</v>
      </c>
      <c r="AB129" s="193">
        <f>IF(AA129="","",$B129*'AEO 2018_Table 13'!AB$36/'AEO 2018_Table 13'!$C$36)</f>
        <v>30.233379958019821</v>
      </c>
      <c r="AC129" s="193">
        <f>IF(AB129="","",$B129*'AEO 2018_Table 13'!AC$36/'AEO 2018_Table 13'!$C$36)</f>
        <v>30.409653153681955</v>
      </c>
      <c r="AD129" s="193">
        <f>IF(AC129="","",$B129*'AEO 2018_Table 13'!AD$36/'AEO 2018_Table 13'!$C$36)</f>
        <v>30.580567574488313</v>
      </c>
      <c r="AE129" s="193">
        <f>IF(AD129="","",$B129*'AEO 2018_Table 13'!AE$36/'AEO 2018_Table 13'!$C$36)</f>
        <v>30.647617611098308</v>
      </c>
      <c r="AF129" s="193">
        <f>IF(AE129="","",$B129*'AEO 2018_Table 13'!AF$36/'AEO 2018_Table 13'!$C$36)</f>
        <v>30.795354241471578</v>
      </c>
      <c r="AG129" s="193">
        <f>IF(AF129="","",$B129*'AEO 2018_Table 13'!AG$36/'AEO 2018_Table 13'!$C$36)</f>
        <v>30.924966885340794</v>
      </c>
      <c r="AH129" s="193">
        <f>IF(AG129="","",$B129*'AEO 2018_Table 13'!AH$36/'AEO 2018_Table 13'!$C$36)</f>
        <v>30.975243520979475</v>
      </c>
      <c r="AI129" s="193">
        <f>IF(AH129="","",$B129*'AEO 2018_Table 13'!AI$36/'AEO 2018_Table 13'!$C$36)</f>
        <v>31.119407634782242</v>
      </c>
      <c r="AJ129" s="193">
        <f>IF(AI129="","",$B129*'AEO 2018_Table 13'!AJ$36/'AEO 2018_Table 13'!$C$36)</f>
        <v>31.235819394250658</v>
      </c>
      <c r="AK129" s="193">
        <f>IF(AJ129="","",$B129*'AEO 2018_Table 13'!AK$36/'AEO 2018_Table 13'!$C$36)</f>
        <v>31.419934699457812</v>
      </c>
    </row>
    <row r="130" spans="1:37" x14ac:dyDescent="0.25">
      <c r="A130" s="212" t="s">
        <v>1201</v>
      </c>
      <c r="B130" s="196">
        <v>14.630387200000008</v>
      </c>
      <c r="C130" s="196">
        <f>IF(B130="","",$B130*'AEO 2018_Table 13'!C$36/'AEO 2018_Table 13'!$C$36)</f>
        <v>14.630387200000008</v>
      </c>
      <c r="D130" s="196">
        <f>IF(C130="","",$B130*'AEO 2018_Table 13'!D$36/'AEO 2018_Table 13'!$C$36)</f>
        <v>13.209883424057091</v>
      </c>
      <c r="E130" s="196">
        <f>IF(D130="","",$B130*'AEO 2018_Table 13'!E$36/'AEO 2018_Table 13'!$C$36)</f>
        <v>13.835979180629195</v>
      </c>
      <c r="F130" s="196">
        <f>IF(E130="","",$B130*'AEO 2018_Table 13'!F$36/'AEO 2018_Table 13'!$C$36)</f>
        <v>14.176439760359543</v>
      </c>
      <c r="G130" s="196">
        <f>IF(F130="","",$B130*'AEO 2018_Table 13'!G$36/'AEO 2018_Table 13'!$C$36)</f>
        <v>14.223916317971012</v>
      </c>
      <c r="H130" s="196">
        <f>IF(G130="","",$B130*'AEO 2018_Table 13'!H$36/'AEO 2018_Table 13'!$C$36)</f>
        <v>14.152151934472968</v>
      </c>
      <c r="I130" s="196">
        <f>IF(H130="","",$B130*'AEO 2018_Table 13'!I$36/'AEO 2018_Table 13'!$C$36)</f>
        <v>14.2756383961678</v>
      </c>
      <c r="J130" s="196">
        <f>IF(I130="","",$B130*'AEO 2018_Table 13'!J$36/'AEO 2018_Table 13'!$C$36)</f>
        <v>14.395698270182089</v>
      </c>
      <c r="K130" s="196">
        <f>IF(J130="","",$B130*'AEO 2018_Table 13'!K$36/'AEO 2018_Table 13'!$C$36)</f>
        <v>14.500866495848889</v>
      </c>
      <c r="L130" s="196">
        <f>IF(K130="","",$B130*'AEO 2018_Table 13'!L$36/'AEO 2018_Table 13'!$C$36)</f>
        <v>14.579893521160395</v>
      </c>
      <c r="M130" s="196">
        <f>IF(L130="","",$B130*'AEO 2018_Table 13'!M$36/'AEO 2018_Table 13'!$C$36)</f>
        <v>14.515865898525957</v>
      </c>
      <c r="N130" s="196">
        <f>IF(M130="","",$B130*'AEO 2018_Table 13'!N$36/'AEO 2018_Table 13'!$C$36)</f>
        <v>14.579160791719275</v>
      </c>
      <c r="O130" s="196">
        <f>IF(N130="","",$B130*'AEO 2018_Table 13'!O$36/'AEO 2018_Table 13'!$C$36)</f>
        <v>14.633964643741953</v>
      </c>
      <c r="P130" s="196">
        <f>IF(O130="","",$B130*'AEO 2018_Table 13'!P$36/'AEO 2018_Table 13'!$C$36)</f>
        <v>14.664717729403126</v>
      </c>
      <c r="Q130" s="196">
        <f>IF(P130="","",$B130*'AEO 2018_Table 13'!Q$36/'AEO 2018_Table 13'!$C$36)</f>
        <v>14.627693341760596</v>
      </c>
      <c r="R130" s="196">
        <f>IF(Q130="","",$B130*'AEO 2018_Table 13'!R$36/'AEO 2018_Table 13'!$C$36)</f>
        <v>14.636119730333487</v>
      </c>
      <c r="S130" s="196">
        <f>IF(R130="","",$B130*'AEO 2018_Table 13'!S$36/'AEO 2018_Table 13'!$C$36)</f>
        <v>14.671398497836879</v>
      </c>
      <c r="T130" s="196">
        <f>IF(S130="","",$B130*'AEO 2018_Table 13'!T$36/'AEO 2018_Table 13'!$C$36)</f>
        <v>14.662174727225116</v>
      </c>
      <c r="U130" s="196">
        <f>IF(T130="","",$B130*'AEO 2018_Table 13'!U$36/'AEO 2018_Table 13'!$C$36)</f>
        <v>14.696871621348794</v>
      </c>
      <c r="V130" s="196">
        <f>IF(U130="","",$B130*'AEO 2018_Table 13'!V$36/'AEO 2018_Table 13'!$C$36)</f>
        <v>14.735447671337232</v>
      </c>
      <c r="W130" s="196">
        <f>IF(V130="","",$B130*'AEO 2018_Table 13'!W$36/'AEO 2018_Table 13'!$C$36)</f>
        <v>14.811780838409323</v>
      </c>
      <c r="X130" s="196">
        <f>IF(W130="","",$B130*'AEO 2018_Table 13'!X$36/'AEO 2018_Table 13'!$C$36)</f>
        <v>14.84874057345411</v>
      </c>
      <c r="Y130" s="196">
        <f>IF(X130="","",$B130*'AEO 2018_Table 13'!Y$36/'AEO 2018_Table 13'!$C$36)</f>
        <v>14.881928906963715</v>
      </c>
      <c r="Z130" s="196">
        <f>IF(Y130="","",$B130*'AEO 2018_Table 13'!Z$36/'AEO 2018_Table 13'!$C$36)</f>
        <v>14.919168803265404</v>
      </c>
      <c r="AA130" s="196">
        <f>IF(Z130="","",$B130*'AEO 2018_Table 13'!AA$36/'AEO 2018_Table 13'!$C$36)</f>
        <v>14.923155713459737</v>
      </c>
      <c r="AB130" s="196">
        <f>IF(AA130="","",$B130*'AEO 2018_Table 13'!AB$36/'AEO 2018_Table 13'!$C$36)</f>
        <v>14.955158749343999</v>
      </c>
      <c r="AC130" s="196">
        <f>IF(AB130="","",$B130*'AEO 2018_Table 13'!AC$36/'AEO 2018_Table 13'!$C$36)</f>
        <v>15.042353552837417</v>
      </c>
      <c r="AD130" s="196">
        <f>IF(AC130="","",$B130*'AEO 2018_Table 13'!AD$36/'AEO 2018_Table 13'!$C$36)</f>
        <v>15.126897599823247</v>
      </c>
      <c r="AE130" s="196">
        <f>IF(AD130="","",$B130*'AEO 2018_Table 13'!AE$36/'AEO 2018_Table 13'!$C$36)</f>
        <v>15.160064382466937</v>
      </c>
      <c r="AF130" s="196">
        <f>IF(AE130="","",$B130*'AEO 2018_Table 13'!AF$36/'AEO 2018_Table 13'!$C$36)</f>
        <v>15.233143368785811</v>
      </c>
      <c r="AG130" s="196">
        <f>IF(AF130="","",$B130*'AEO 2018_Table 13'!AG$36/'AEO 2018_Table 13'!$C$36)</f>
        <v>15.297257194883915</v>
      </c>
      <c r="AH130" s="196">
        <f>IF(AG130="","",$B130*'AEO 2018_Table 13'!AH$36/'AEO 2018_Table 13'!$C$36)</f>
        <v>15.322126894150202</v>
      </c>
      <c r="AI130" s="196">
        <f>IF(AH130="","",$B130*'AEO 2018_Table 13'!AI$36/'AEO 2018_Table 13'!$C$36)</f>
        <v>15.393438709464021</v>
      </c>
      <c r="AJ130" s="196">
        <f>IF(AI130="","",$B130*'AEO 2018_Table 13'!AJ$36/'AEO 2018_Table 13'!$C$36)</f>
        <v>15.451022623189779</v>
      </c>
      <c r="AK130" s="196">
        <f>IF(AJ130="","",$B130*'AEO 2018_Table 13'!AK$36/'AEO 2018_Table 13'!$C$36)</f>
        <v>15.542096582547954</v>
      </c>
    </row>
    <row r="131" spans="1:37" x14ac:dyDescent="0.25">
      <c r="A131" s="212" t="s">
        <v>1202</v>
      </c>
      <c r="B131" s="196">
        <v>14.140459520000014</v>
      </c>
      <c r="C131" s="196">
        <f>IF(B131="","",$B131*'AEO 2018_Table 13'!C$36/'AEO 2018_Table 13'!$C$36)</f>
        <v>14.140459520000016</v>
      </c>
      <c r="D131" s="196">
        <f>IF(C131="","",$B131*'AEO 2018_Table 13'!D$36/'AEO 2018_Table 13'!$C$36)</f>
        <v>12.767524144665042</v>
      </c>
      <c r="E131" s="196">
        <f>IF(D131="","",$B131*'AEO 2018_Table 13'!E$36/'AEO 2018_Table 13'!$C$36)</f>
        <v>13.37265383675218</v>
      </c>
      <c r="F131" s="196">
        <f>IF(E131="","",$B131*'AEO 2018_Table 13'!F$36/'AEO 2018_Table 13'!$C$36)</f>
        <v>13.701713415286967</v>
      </c>
      <c r="G131" s="196">
        <f>IF(F131="","",$B131*'AEO 2018_Table 13'!G$36/'AEO 2018_Table 13'!$C$36)</f>
        <v>13.747600125725768</v>
      </c>
      <c r="H131" s="196">
        <f>IF(G131="","",$B131*'AEO 2018_Table 13'!H$36/'AEO 2018_Table 13'!$C$36)</f>
        <v>13.67823891566621</v>
      </c>
      <c r="I131" s="196">
        <f>IF(H131="","",$B131*'AEO 2018_Table 13'!I$36/'AEO 2018_Table 13'!$C$36)</f>
        <v>13.797590187029948</v>
      </c>
      <c r="J131" s="196">
        <f>IF(I131="","",$B131*'AEO 2018_Table 13'!J$36/'AEO 2018_Table 13'!$C$36)</f>
        <v>13.913629616832285</v>
      </c>
      <c r="K131" s="196">
        <f>IF(J131="","",$B131*'AEO 2018_Table 13'!K$36/'AEO 2018_Table 13'!$C$36)</f>
        <v>14.015276074817457</v>
      </c>
      <c r="L131" s="196">
        <f>IF(K131="","",$B131*'AEO 2018_Table 13'!L$36/'AEO 2018_Table 13'!$C$36)</f>
        <v>14.091656722651807</v>
      </c>
      <c r="M131" s="196">
        <f>IF(L131="","",$B131*'AEO 2018_Table 13'!M$36/'AEO 2018_Table 13'!$C$36)</f>
        <v>14.02977319259567</v>
      </c>
      <c r="N131" s="196">
        <f>IF(M131="","",$B131*'AEO 2018_Table 13'!N$36/'AEO 2018_Table 13'!$C$36)</f>
        <v>14.090948530116663</v>
      </c>
      <c r="O131" s="196">
        <f>IF(N131="","",$B131*'AEO 2018_Table 13'!O$36/'AEO 2018_Table 13'!$C$36)</f>
        <v>14.143917165906888</v>
      </c>
      <c r="P131" s="196">
        <f>IF(O131="","",$B131*'AEO 2018_Table 13'!P$36/'AEO 2018_Table 13'!$C$36)</f>
        <v>14.173640423190667</v>
      </c>
      <c r="Q131" s="196">
        <f>IF(P131="","",$B131*'AEO 2018_Table 13'!Q$36/'AEO 2018_Table 13'!$C$36)</f>
        <v>14.137855870973757</v>
      </c>
      <c r="R131" s="196">
        <f>IF(Q131="","",$B131*'AEO 2018_Table 13'!R$36/'AEO 2018_Table 13'!$C$36)</f>
        <v>14.146000085127898</v>
      </c>
      <c r="S131" s="196">
        <f>IF(R131="","",$B131*'AEO 2018_Table 13'!S$36/'AEO 2018_Table 13'!$C$36)</f>
        <v>14.180097472775794</v>
      </c>
      <c r="T131" s="196">
        <f>IF(S131="","",$B131*'AEO 2018_Table 13'!T$36/'AEO 2018_Table 13'!$C$36)</f>
        <v>14.171182578509876</v>
      </c>
      <c r="U131" s="196">
        <f>IF(T131="","",$B131*'AEO 2018_Table 13'!U$36/'AEO 2018_Table 13'!$C$36)</f>
        <v>14.204717577968099</v>
      </c>
      <c r="V131" s="196">
        <f>IF(U131="","",$B131*'AEO 2018_Table 13'!V$36/'AEO 2018_Table 13'!$C$36)</f>
        <v>14.242001832024137</v>
      </c>
      <c r="W131" s="196">
        <f>IF(V131="","",$B131*'AEO 2018_Table 13'!W$36/'AEO 2018_Table 13'!$C$36)</f>
        <v>14.315778830832228</v>
      </c>
      <c r="X131" s="196">
        <f>IF(W131="","",$B131*'AEO 2018_Table 13'!X$36/'AEO 2018_Table 13'!$C$36)</f>
        <v>14.35150089547251</v>
      </c>
      <c r="Y131" s="196">
        <f>IF(X131="","",$B131*'AEO 2018_Table 13'!Y$36/'AEO 2018_Table 13'!$C$36)</f>
        <v>14.383577851476026</v>
      </c>
      <c r="Z131" s="196">
        <f>IF(Y131="","",$B131*'AEO 2018_Table 13'!Z$36/'AEO 2018_Table 13'!$C$36)</f>
        <v>14.419570695615041</v>
      </c>
      <c r="AA131" s="196">
        <f>IF(Z131="","",$B131*'AEO 2018_Table 13'!AA$36/'AEO 2018_Table 13'!$C$36)</f>
        <v>14.423424096173902</v>
      </c>
      <c r="AB131" s="196">
        <f>IF(AA131="","",$B131*'AEO 2018_Table 13'!AB$36/'AEO 2018_Table 13'!$C$36)</f>
        <v>14.454355446605867</v>
      </c>
      <c r="AC131" s="196">
        <f>IF(AB131="","",$B131*'AEO 2018_Table 13'!AC$36/'AEO 2018_Table 13'!$C$36)</f>
        <v>14.538630358287834</v>
      </c>
      <c r="AD131" s="196">
        <f>IF(AC131="","",$B131*'AEO 2018_Table 13'!AD$36/'AEO 2018_Table 13'!$C$36)</f>
        <v>14.620343279327964</v>
      </c>
      <c r="AE131" s="196">
        <f>IF(AD131="","",$B131*'AEO 2018_Table 13'!AE$36/'AEO 2018_Table 13'!$C$36)</f>
        <v>14.652399406139272</v>
      </c>
      <c r="AF131" s="196">
        <f>IF(AE131="","",$B131*'AEO 2018_Table 13'!AF$36/'AEO 2018_Table 13'!$C$36)</f>
        <v>14.723031196923641</v>
      </c>
      <c r="AG131" s="196">
        <f>IF(AF131="","",$B131*'AEO 2018_Table 13'!AG$36/'AEO 2018_Table 13'!$C$36)</f>
        <v>14.784998043748619</v>
      </c>
      <c r="AH131" s="196">
        <f>IF(AG131="","",$B131*'AEO 2018_Table 13'!AH$36/'AEO 2018_Table 13'!$C$36)</f>
        <v>14.809034931559045</v>
      </c>
      <c r="AI131" s="196">
        <f>IF(AH131="","",$B131*'AEO 2018_Table 13'!AI$36/'AEO 2018_Table 13'!$C$36)</f>
        <v>14.877958728582191</v>
      </c>
      <c r="AJ131" s="196">
        <f>IF(AI131="","",$B131*'AEO 2018_Table 13'!AJ$36/'AEO 2018_Table 13'!$C$36)</f>
        <v>14.933614330167515</v>
      </c>
      <c r="AK131" s="196">
        <f>IF(AJ131="","",$B131*'AEO 2018_Table 13'!AK$36/'AEO 2018_Table 13'!$C$36)</f>
        <v>15.021638496447297</v>
      </c>
    </row>
    <row r="132" spans="1:37" x14ac:dyDescent="0.25">
      <c r="A132" s="212" t="s">
        <v>1200</v>
      </c>
      <c r="B132" s="196">
        <v>0.80597439999999987</v>
      </c>
      <c r="C132" s="196">
        <f>IF(B132="","",$B132*'AEO 2018_Table 13'!C$36/'AEO 2018_Table 13'!$C$36)</f>
        <v>0.80597439999999976</v>
      </c>
      <c r="D132" s="196">
        <f>IF(C132="","",$B132*'AEO 2018_Table 13'!D$36/'AEO 2018_Table 13'!$C$36)</f>
        <v>0.72772017043912229</v>
      </c>
      <c r="E132" s="196">
        <f>IF(D132="","",$B132*'AEO 2018_Table 13'!E$36/'AEO 2018_Table 13'!$C$36)</f>
        <v>0.76221120234740602</v>
      </c>
      <c r="F132" s="196">
        <f>IF(E132="","",$B132*'AEO 2018_Table 13'!F$36/'AEO 2018_Table 13'!$C$36)</f>
        <v>0.78096685848423197</v>
      </c>
      <c r="G132" s="196">
        <f>IF(F132="","",$B132*'AEO 2018_Table 13'!G$36/'AEO 2018_Table 13'!$C$36)</f>
        <v>0.78358229781005984</v>
      </c>
      <c r="H132" s="196">
        <f>IF(G132="","",$B132*'AEO 2018_Table 13'!H$36/'AEO 2018_Table 13'!$C$36)</f>
        <v>0.77962886478463689</v>
      </c>
      <c r="I132" s="196">
        <f>IF(H132="","",$B132*'AEO 2018_Table 13'!I$36/'AEO 2018_Table 13'!$C$36)</f>
        <v>0.78643161890946356</v>
      </c>
      <c r="J132" s="196">
        <f>IF(I132="","",$B132*'AEO 2018_Table 13'!J$36/'AEO 2018_Table 13'!$C$36)</f>
        <v>0.79304560551145475</v>
      </c>
      <c r="K132" s="196">
        <f>IF(J132="","",$B132*'AEO 2018_Table 13'!K$36/'AEO 2018_Table 13'!$C$36)</f>
        <v>0.79883922508024274</v>
      </c>
      <c r="L132" s="196">
        <f>IF(K132="","",$B132*'AEO 2018_Table 13'!L$36/'AEO 2018_Table 13'!$C$36)</f>
        <v>0.80319275027670689</v>
      </c>
      <c r="M132" s="196">
        <f>IF(L132="","",$B132*'AEO 2018_Table 13'!M$36/'AEO 2018_Table 13'!$C$36)</f>
        <v>0.79966552819906989</v>
      </c>
      <c r="N132" s="196">
        <f>IF(M132="","",$B132*'AEO 2018_Table 13'!N$36/'AEO 2018_Table 13'!$C$36)</f>
        <v>0.80315238489446528</v>
      </c>
      <c r="O132" s="196">
        <f>IF(N132="","",$B132*'AEO 2018_Table 13'!O$36/'AEO 2018_Table 13'!$C$36)</f>
        <v>0.80617147804270872</v>
      </c>
      <c r="P132" s="196">
        <f>IF(O132="","",$B132*'AEO 2018_Table 13'!P$36/'AEO 2018_Table 13'!$C$36)</f>
        <v>0.80786563687972923</v>
      </c>
      <c r="Q132" s="196">
        <f>IF(P132="","",$B132*'AEO 2018_Table 13'!Q$36/'AEO 2018_Table 13'!$C$36)</f>
        <v>0.8058259978594059</v>
      </c>
      <c r="R132" s="196">
        <f>IF(Q132="","",$B132*'AEO 2018_Table 13'!R$36/'AEO 2018_Table 13'!$C$36)</f>
        <v>0.80629019975518401</v>
      </c>
      <c r="S132" s="196">
        <f>IF(R132="","",$B132*'AEO 2018_Table 13'!S$36/'AEO 2018_Table 13'!$C$36)</f>
        <v>0.80823367418840231</v>
      </c>
      <c r="T132" s="196">
        <f>IF(S132="","",$B132*'AEO 2018_Table 13'!T$36/'AEO 2018_Table 13'!$C$36)</f>
        <v>0.80772554525900842</v>
      </c>
      <c r="U132" s="196">
        <f>IF(T132="","",$B132*'AEO 2018_Table 13'!U$36/'AEO 2018_Table 13'!$C$36)</f>
        <v>0.80963696482985859</v>
      </c>
      <c r="V132" s="196">
        <f>IF(U132="","",$B132*'AEO 2018_Table 13'!V$36/'AEO 2018_Table 13'!$C$36)</f>
        <v>0.81176208348316403</v>
      </c>
      <c r="W132" s="196">
        <f>IF(V132="","",$B132*'AEO 2018_Table 13'!W$36/'AEO 2018_Table 13'!$C$36)</f>
        <v>0.8159672065390341</v>
      </c>
      <c r="X132" s="196">
        <f>IF(W132="","",$B132*'AEO 2018_Table 13'!X$36/'AEO 2018_Table 13'!$C$36)</f>
        <v>0.81800328390798316</v>
      </c>
      <c r="Y132" s="196">
        <f>IF(X132="","",$B132*'AEO 2018_Table 13'!Y$36/'AEO 2018_Table 13'!$C$36)</f>
        <v>0.81983159828010077</v>
      </c>
      <c r="Z132" s="196">
        <f>IF(Y132="","",$B132*'AEO 2018_Table 13'!Z$36/'AEO 2018_Table 13'!$C$36)</f>
        <v>0.82188310947167154</v>
      </c>
      <c r="AA132" s="196">
        <f>IF(Z132="","",$B132*'AEO 2018_Table 13'!AA$36/'AEO 2018_Table 13'!$C$36)</f>
        <v>0.82210274463975064</v>
      </c>
      <c r="AB132" s="196">
        <f>IF(AA132="","",$B132*'AEO 2018_Table 13'!AB$36/'AEO 2018_Table 13'!$C$36)</f>
        <v>0.82386576207000672</v>
      </c>
      <c r="AC132" s="196">
        <f>IF(AB132="","",$B132*'AEO 2018_Table 13'!AC$36/'AEO 2018_Table 13'!$C$36)</f>
        <v>0.82866924255675167</v>
      </c>
      <c r="AD132" s="196">
        <f>IF(AC132="","",$B132*'AEO 2018_Table 13'!AD$36/'AEO 2018_Table 13'!$C$36)</f>
        <v>0.83332669533715231</v>
      </c>
      <c r="AE132" s="196">
        <f>IF(AD132="","",$B132*'AEO 2018_Table 13'!AE$36/'AEO 2018_Table 13'!$C$36)</f>
        <v>0.83515382249214498</v>
      </c>
      <c r="AF132" s="196">
        <f>IF(AE132="","",$B132*'AEO 2018_Table 13'!AF$36/'AEO 2018_Table 13'!$C$36)</f>
        <v>0.83917967576217778</v>
      </c>
      <c r="AG132" s="196">
        <f>IF(AF132="","",$B132*'AEO 2018_Table 13'!AG$36/'AEO 2018_Table 13'!$C$36)</f>
        <v>0.84271164670831389</v>
      </c>
      <c r="AH132" s="196">
        <f>IF(AG132="","",$B132*'AEO 2018_Table 13'!AH$36/'AEO 2018_Table 13'!$C$36)</f>
        <v>0.84408169527027721</v>
      </c>
      <c r="AI132" s="196">
        <f>IF(AH132="","",$B132*'AEO 2018_Table 13'!AI$36/'AEO 2018_Table 13'!$C$36)</f>
        <v>0.84801019673608025</v>
      </c>
      <c r="AJ132" s="196">
        <f>IF(AI132="","",$B132*'AEO 2018_Table 13'!AJ$36/'AEO 2018_Table 13'!$C$36)</f>
        <v>0.85118244089341666</v>
      </c>
      <c r="AK132" s="196">
        <f>IF(AJ132="","",$B132*'AEO 2018_Table 13'!AK$36/'AEO 2018_Table 13'!$C$36)</f>
        <v>0.85619962046261677</v>
      </c>
    </row>
    <row r="133" spans="1:37" x14ac:dyDescent="0.25">
      <c r="A133" s="212" t="s">
        <v>1269</v>
      </c>
      <c r="B133" s="196">
        <v>22.461364046153847</v>
      </c>
      <c r="C133" s="196">
        <f>IF(B133="","",$B133*'AEO 2018_Table 13'!C$36/'AEO 2018_Table 13'!$C$36)</f>
        <v>22.461364046153847</v>
      </c>
      <c r="D133" s="196">
        <f>IF(C133="","",$B133*'AEO 2018_Table 13'!D$36/'AEO 2018_Table 13'!$C$36)</f>
        <v>20.280529594937818</v>
      </c>
      <c r="E133" s="196">
        <f>IF(D133="","",$B133*'AEO 2018_Table 13'!E$36/'AEO 2018_Table 13'!$C$36)</f>
        <v>21.241745762621893</v>
      </c>
      <c r="F133" s="196">
        <f>IF(E133="","",$B133*'AEO 2018_Table 13'!F$36/'AEO 2018_Table 13'!$C$36)</f>
        <v>21.764439312707015</v>
      </c>
      <c r="G133" s="196">
        <f>IF(F133="","",$B133*'AEO 2018_Table 13'!G$36/'AEO 2018_Table 13'!$C$36)</f>
        <v>21.837327899289974</v>
      </c>
      <c r="H133" s="196">
        <f>IF(G133="","",$B133*'AEO 2018_Table 13'!H$36/'AEO 2018_Table 13'!$C$36)</f>
        <v>21.727151324927174</v>
      </c>
      <c r="I133" s="196">
        <f>IF(H133="","",$B133*'AEO 2018_Table 13'!I$36/'AEO 2018_Table 13'!$C$36)</f>
        <v>21.916734439371268</v>
      </c>
      <c r="J133" s="196">
        <f>IF(I133="","",$B133*'AEO 2018_Table 13'!J$36/'AEO 2018_Table 13'!$C$36)</f>
        <v>22.101056870534972</v>
      </c>
      <c r="K133" s="196">
        <f>IF(J133="","",$B133*'AEO 2018_Table 13'!K$36/'AEO 2018_Table 13'!$C$36)</f>
        <v>22.262516835366938</v>
      </c>
      <c r="L133" s="196">
        <f>IF(K133="","",$B133*'AEO 2018_Table 13'!L$36/'AEO 2018_Table 13'!$C$36)</f>
        <v>22.383843411399482</v>
      </c>
      <c r="M133" s="196">
        <f>IF(L133="","",$B133*'AEO 2018_Table 13'!M$36/'AEO 2018_Table 13'!$C$36)</f>
        <v>22.285544731990512</v>
      </c>
      <c r="N133" s="196">
        <f>IF(M133="","",$B133*'AEO 2018_Table 13'!N$36/'AEO 2018_Table 13'!$C$36)</f>
        <v>22.382718485414998</v>
      </c>
      <c r="O133" s="196">
        <f>IF(N133="","",$B133*'AEO 2018_Table 13'!O$36/'AEO 2018_Table 13'!$C$36)</f>
        <v>22.466856331842802</v>
      </c>
      <c r="P133" s="196">
        <f>IF(O133="","",$B133*'AEO 2018_Table 13'!P$36/'AEO 2018_Table 13'!$C$36)</f>
        <v>22.514070137132808</v>
      </c>
      <c r="Q133" s="196">
        <f>IF(P133="","",$B133*'AEO 2018_Table 13'!Q$36/'AEO 2018_Table 13'!$C$36)</f>
        <v>22.457228288857948</v>
      </c>
      <c r="R133" s="196">
        <f>IF(Q133="","",$B133*'AEO 2018_Table 13'!R$36/'AEO 2018_Table 13'!$C$36)</f>
        <v>22.470164937679527</v>
      </c>
      <c r="S133" s="196">
        <f>IF(R133="","",$B133*'AEO 2018_Table 13'!S$36/'AEO 2018_Table 13'!$C$36)</f>
        <v>22.524326815226644</v>
      </c>
      <c r="T133" s="196">
        <f>IF(S133="","",$B133*'AEO 2018_Table 13'!T$36/'AEO 2018_Table 13'!$C$36)</f>
        <v>22.510165982245475</v>
      </c>
      <c r="U133" s="196">
        <f>IF(T133="","",$B133*'AEO 2018_Table 13'!U$36/'AEO 2018_Table 13'!$C$36)</f>
        <v>22.563434536216679</v>
      </c>
      <c r="V133" s="196">
        <f>IF(U133="","",$B133*'AEO 2018_Table 13'!V$36/'AEO 2018_Table 13'!$C$36)</f>
        <v>22.62265858069398</v>
      </c>
      <c r="W133" s="196">
        <f>IF(V133="","",$B133*'AEO 2018_Table 13'!W$36/'AEO 2018_Table 13'!$C$36)</f>
        <v>22.739849399430621</v>
      </c>
      <c r="X133" s="196">
        <f>IF(W133="","",$B133*'AEO 2018_Table 13'!X$36/'AEO 2018_Table 13'!$C$36)</f>
        <v>22.796591989530381</v>
      </c>
      <c r="Y133" s="196">
        <f>IF(X133="","",$B133*'AEO 2018_Table 13'!Y$36/'AEO 2018_Table 13'!$C$36)</f>
        <v>22.847544519415877</v>
      </c>
      <c r="Z133" s="196">
        <f>IF(Y133="","",$B133*'AEO 2018_Table 13'!Z$36/'AEO 2018_Table 13'!$C$36)</f>
        <v>22.904717228274411</v>
      </c>
      <c r="AA133" s="196">
        <f>IF(Z133="","",$B133*'AEO 2018_Table 13'!AA$36/'AEO 2018_Table 13'!$C$36)</f>
        <v>22.910838149072344</v>
      </c>
      <c r="AB133" s="196">
        <f>IF(AA133="","",$B133*'AEO 2018_Table 13'!AB$36/'AEO 2018_Table 13'!$C$36)</f>
        <v>22.959970945747646</v>
      </c>
      <c r="AC133" s="196">
        <f>IF(AB133="","",$B133*'AEO 2018_Table 13'!AC$36/'AEO 2018_Table 13'!$C$36)</f>
        <v>23.09383713790136</v>
      </c>
      <c r="AD133" s="196">
        <f>IF(AC133="","",$B133*'AEO 2018_Table 13'!AD$36/'AEO 2018_Table 13'!$C$36)</f>
        <v>23.223633744875912</v>
      </c>
      <c r="AE133" s="196">
        <f>IF(AD133="","",$B133*'AEO 2018_Table 13'!AE$36/'AEO 2018_Table 13'!$C$36)</f>
        <v>23.274553188703042</v>
      </c>
      <c r="AF133" s="196">
        <f>IF(AE133="","",$B133*'AEO 2018_Table 13'!AF$36/'AEO 2018_Table 13'!$C$36)</f>
        <v>23.386748012626239</v>
      </c>
      <c r="AG133" s="196">
        <f>IF(AF133="","",$B133*'AEO 2018_Table 13'!AG$36/'AEO 2018_Table 13'!$C$36)</f>
        <v>23.485179036268676</v>
      </c>
      <c r="AH133" s="196">
        <f>IF(AG133="","",$B133*'AEO 2018_Table 13'!AH$36/'AEO 2018_Table 13'!$C$36)</f>
        <v>23.523360347624433</v>
      </c>
      <c r="AI133" s="196">
        <f>IF(AH133="","",$B133*'AEO 2018_Table 13'!AI$36/'AEO 2018_Table 13'!$C$36)</f>
        <v>23.63284211476152</v>
      </c>
      <c r="AJ133" s="196">
        <f>IF(AI133="","",$B133*'AEO 2018_Table 13'!AJ$36/'AEO 2018_Table 13'!$C$36)</f>
        <v>23.721248062718693</v>
      </c>
      <c r="AK133" s="196">
        <f>IF(AJ133="","",$B133*'AEO 2018_Table 13'!AK$36/'AEO 2018_Table 13'!$C$36)</f>
        <v>23.861069745378504</v>
      </c>
    </row>
    <row r="134" spans="1:37" x14ac:dyDescent="0.25">
      <c r="A134" s="212" t="s">
        <v>1201</v>
      </c>
      <c r="B134" s="196">
        <v>16.20822678461538</v>
      </c>
      <c r="C134" s="196">
        <f>IF(B134="","",$B134*'AEO 2018_Table 13'!C$36/'AEO 2018_Table 13'!$C$36)</f>
        <v>16.20822678461538</v>
      </c>
      <c r="D134" s="196">
        <f>IF(C134="","",$B134*'AEO 2018_Table 13'!D$36/'AEO 2018_Table 13'!$C$36)</f>
        <v>14.63452630532217</v>
      </c>
      <c r="E134" s="196">
        <f>IF(D134="","",$B134*'AEO 2018_Table 13'!E$36/'AEO 2018_Table 13'!$C$36)</f>
        <v>15.328144449031038</v>
      </c>
      <c r="F134" s="196">
        <f>IF(E134="","",$B134*'AEO 2018_Table 13'!F$36/'AEO 2018_Table 13'!$C$36)</f>
        <v>15.705322592852898</v>
      </c>
      <c r="G134" s="196">
        <f>IF(F134="","",$B134*'AEO 2018_Table 13'!G$36/'AEO 2018_Table 13'!$C$36)</f>
        <v>15.757919342494601</v>
      </c>
      <c r="H134" s="196">
        <f>IF(G134="","",$B134*'AEO 2018_Table 13'!H$36/'AEO 2018_Table 13'!$C$36)</f>
        <v>15.678415404089307</v>
      </c>
      <c r="I134" s="196">
        <f>IF(H134="","",$B134*'AEO 2018_Table 13'!I$36/'AEO 2018_Table 13'!$C$36)</f>
        <v>15.815219478282197</v>
      </c>
      <c r="J134" s="196">
        <f>IF(I134="","",$B134*'AEO 2018_Table 13'!J$36/'AEO 2018_Table 13'!$C$36)</f>
        <v>15.948227418479158</v>
      </c>
      <c r="K134" s="196">
        <f>IF(J134="","",$B134*'AEO 2018_Table 13'!K$36/'AEO 2018_Table 13'!$C$36)</f>
        <v>16.064737694580604</v>
      </c>
      <c r="L134" s="196">
        <f>IF(K134="","",$B134*'AEO 2018_Table 13'!L$36/'AEO 2018_Table 13'!$C$36)</f>
        <v>16.152287527052739</v>
      </c>
      <c r="M134" s="196">
        <f>IF(L134="","",$B134*'AEO 2018_Table 13'!M$36/'AEO 2018_Table 13'!$C$36)</f>
        <v>16.08135473395901</v>
      </c>
      <c r="N134" s="196">
        <f>IF(M134="","",$B134*'AEO 2018_Table 13'!N$36/'AEO 2018_Table 13'!$C$36)</f>
        <v>16.151475775129082</v>
      </c>
      <c r="O134" s="196">
        <f>IF(N134="","",$B134*'AEO 2018_Table 13'!O$36/'AEO 2018_Table 13'!$C$36)</f>
        <v>16.212190044007354</v>
      </c>
      <c r="P134" s="196">
        <f>IF(O134="","",$B134*'AEO 2018_Table 13'!P$36/'AEO 2018_Table 13'!$C$36)</f>
        <v>16.2462597497444</v>
      </c>
      <c r="Q134" s="196">
        <f>IF(P134="","",$B134*'AEO 2018_Table 13'!Q$36/'AEO 2018_Table 13'!$C$36)</f>
        <v>16.205242402543114</v>
      </c>
      <c r="R134" s="196">
        <f>IF(Q134="","",$B134*'AEO 2018_Table 13'!R$36/'AEO 2018_Table 13'!$C$36)</f>
        <v>16.214577549665172</v>
      </c>
      <c r="S134" s="196">
        <f>IF(R134="","",$B134*'AEO 2018_Table 13'!S$36/'AEO 2018_Table 13'!$C$36)</f>
        <v>16.253661017283633</v>
      </c>
      <c r="T134" s="196">
        <f>IF(S134="","",$B134*'AEO 2018_Table 13'!T$36/'AEO 2018_Table 13'!$C$36)</f>
        <v>16.243442493068173</v>
      </c>
      <c r="U134" s="196">
        <f>IF(T134="","",$B134*'AEO 2018_Table 13'!U$36/'AEO 2018_Table 13'!$C$36)</f>
        <v>16.281881334159024</v>
      </c>
      <c r="V134" s="196">
        <f>IF(U134="","",$B134*'AEO 2018_Table 13'!V$36/'AEO 2018_Table 13'!$C$36)</f>
        <v>16.324617685433939</v>
      </c>
      <c r="W134" s="196">
        <f>IF(V134="","",$B134*'AEO 2018_Table 13'!W$36/'AEO 2018_Table 13'!$C$36)</f>
        <v>16.409183135833803</v>
      </c>
      <c r="X134" s="196">
        <f>IF(W134="","",$B134*'AEO 2018_Table 13'!X$36/'AEO 2018_Table 13'!$C$36)</f>
        <v>16.450128857865355</v>
      </c>
      <c r="Y134" s="196">
        <f>IF(X134="","",$B134*'AEO 2018_Table 13'!Y$36/'AEO 2018_Table 13'!$C$36)</f>
        <v>16.486896444995729</v>
      </c>
      <c r="Z134" s="196">
        <f>IF(Y134="","",$B134*'AEO 2018_Table 13'!Z$36/'AEO 2018_Table 13'!$C$36)</f>
        <v>16.5281525427628</v>
      </c>
      <c r="AA134" s="196">
        <f>IF(Z134="","",$B134*'AEO 2018_Table 13'!AA$36/'AEO 2018_Table 13'!$C$36)</f>
        <v>16.532569428229763</v>
      </c>
      <c r="AB134" s="196">
        <f>IF(AA134="","",$B134*'AEO 2018_Table 13'!AB$36/'AEO 2018_Table 13'!$C$36)</f>
        <v>16.568023887248337</v>
      </c>
      <c r="AC134" s="196">
        <f>IF(AB134="","",$B134*'AEO 2018_Table 13'!AC$36/'AEO 2018_Table 13'!$C$36)</f>
        <v>16.664622366163595</v>
      </c>
      <c r="AD134" s="196">
        <f>IF(AC134="","",$B134*'AEO 2018_Table 13'!AD$36/'AEO 2018_Table 13'!$C$36)</f>
        <v>16.75828421311974</v>
      </c>
      <c r="AE134" s="196">
        <f>IF(AD134="","",$B134*'AEO 2018_Table 13'!AE$36/'AEO 2018_Table 13'!$C$36)</f>
        <v>16.795027925193537</v>
      </c>
      <c r="AF134" s="196">
        <f>IF(AE134="","",$B134*'AEO 2018_Table 13'!AF$36/'AEO 2018_Table 13'!$C$36)</f>
        <v>16.875988242050099</v>
      </c>
      <c r="AG134" s="196">
        <f>IF(AF134="","",$B134*'AEO 2018_Table 13'!AG$36/'AEO 2018_Table 13'!$C$36)</f>
        <v>16.947016535370139</v>
      </c>
      <c r="AH134" s="196">
        <f>IF(AG134="","",$B134*'AEO 2018_Table 13'!AH$36/'AEO 2018_Table 13'!$C$36)</f>
        <v>16.974568350661343</v>
      </c>
      <c r="AI134" s="196">
        <f>IF(AH134="","",$B134*'AEO 2018_Table 13'!AI$36/'AEO 2018_Table 13'!$C$36)</f>
        <v>17.053570912878495</v>
      </c>
      <c r="AJ134" s="196">
        <f>IF(AI134="","",$B134*'AEO 2018_Table 13'!AJ$36/'AEO 2018_Table 13'!$C$36)</f>
        <v>17.117365064055353</v>
      </c>
      <c r="AK134" s="196">
        <f>IF(AJ134="","",$B134*'AEO 2018_Table 13'!AK$36/'AEO 2018_Table 13'!$C$36)</f>
        <v>17.218261053154681</v>
      </c>
    </row>
    <row r="135" spans="1:37" x14ac:dyDescent="0.25">
      <c r="A135" s="212" t="s">
        <v>1202</v>
      </c>
      <c r="B135" s="196">
        <v>5.8440083692307701</v>
      </c>
      <c r="C135" s="196">
        <f>IF(B135="","",$B135*'AEO 2018_Table 13'!C$36/'AEO 2018_Table 13'!$C$36)</f>
        <v>5.8440083692307701</v>
      </c>
      <c r="D135" s="196">
        <f>IF(C135="","",$B135*'AEO 2018_Table 13'!D$36/'AEO 2018_Table 13'!$C$36)</f>
        <v>5.2765978255689925</v>
      </c>
      <c r="E135" s="196">
        <f>IF(D135="","",$B135*'AEO 2018_Table 13'!E$36/'AEO 2018_Table 13'!$C$36)</f>
        <v>5.526687504764034</v>
      </c>
      <c r="F135" s="196">
        <f>IF(E135="","",$B135*'AEO 2018_Table 13'!F$36/'AEO 2018_Table 13'!$C$36)</f>
        <v>5.6626821609640636</v>
      </c>
      <c r="G135" s="196">
        <f>IF(F135="","",$B135*'AEO 2018_Table 13'!G$36/'AEO 2018_Table 13'!$C$36)</f>
        <v>5.6816463480515855</v>
      </c>
      <c r="H135" s="196">
        <f>IF(G135="","",$B135*'AEO 2018_Table 13'!H$36/'AEO 2018_Table 13'!$C$36)</f>
        <v>5.6529805545874696</v>
      </c>
      <c r="I135" s="196">
        <f>IF(H135="","",$B135*'AEO 2018_Table 13'!I$36/'AEO 2018_Table 13'!$C$36)</f>
        <v>5.7023063793770747</v>
      </c>
      <c r="J135" s="196">
        <f>IF(I135="","",$B135*'AEO 2018_Table 13'!J$36/'AEO 2018_Table 13'!$C$36)</f>
        <v>5.750263477091365</v>
      </c>
      <c r="K135" s="196">
        <f>IF(J135="","",$B135*'AEO 2018_Table 13'!K$36/'AEO 2018_Table 13'!$C$36)</f>
        <v>5.792272207453192</v>
      </c>
      <c r="L135" s="196">
        <f>IF(K135="","",$B135*'AEO 2018_Table 13'!L$36/'AEO 2018_Table 13'!$C$36)</f>
        <v>5.8238390136492617</v>
      </c>
      <c r="M135" s="196">
        <f>IF(L135="","",$B135*'AEO 2018_Table 13'!M$36/'AEO 2018_Table 13'!$C$36)</f>
        <v>5.798263616537584</v>
      </c>
      <c r="N135" s="196">
        <f>IF(M135="","",$B135*'AEO 2018_Table 13'!N$36/'AEO 2018_Table 13'!$C$36)</f>
        <v>5.8235463298721513</v>
      </c>
      <c r="O135" s="196">
        <f>IF(N135="","",$B135*'AEO 2018_Table 13'!O$36/'AEO 2018_Table 13'!$C$36)</f>
        <v>5.845437354730783</v>
      </c>
      <c r="P135" s="196">
        <f>IF(O135="","",$B135*'AEO 2018_Table 13'!P$36/'AEO 2018_Table 13'!$C$36)</f>
        <v>5.8577214650230633</v>
      </c>
      <c r="Q135" s="196">
        <f>IF(P135="","",$B135*'AEO 2018_Table 13'!Q$36/'AEO 2018_Table 13'!$C$36)</f>
        <v>5.8429323259325683</v>
      </c>
      <c r="R135" s="196">
        <f>IF(Q135="","",$B135*'AEO 2018_Table 13'!R$36/'AEO 2018_Table 13'!$C$36)</f>
        <v>5.846298189369346</v>
      </c>
      <c r="S135" s="196">
        <f>IF(R135="","",$B135*'AEO 2018_Table 13'!S$36/'AEO 2018_Table 13'!$C$36)</f>
        <v>5.8603900524026065</v>
      </c>
      <c r="T135" s="196">
        <f>IF(S135="","",$B135*'AEO 2018_Table 13'!T$36/'AEO 2018_Table 13'!$C$36)</f>
        <v>5.8567056801495605</v>
      </c>
      <c r="U135" s="196">
        <f>IF(T135="","",$B135*'AEO 2018_Table 13'!U$36/'AEO 2018_Table 13'!$C$36)</f>
        <v>5.8705651178304086</v>
      </c>
      <c r="V135" s="196">
        <f>IF(U135="","",$B135*'AEO 2018_Table 13'!V$36/'AEO 2018_Table 13'!$C$36)</f>
        <v>5.8859740578606701</v>
      </c>
      <c r="W135" s="196">
        <f>IF(V135="","",$B135*'AEO 2018_Table 13'!W$36/'AEO 2018_Table 13'!$C$36)</f>
        <v>5.9164648207585371</v>
      </c>
      <c r="X135" s="196">
        <f>IF(W135="","",$B135*'AEO 2018_Table 13'!X$36/'AEO 2018_Table 13'!$C$36)</f>
        <v>5.9312281348098752</v>
      </c>
      <c r="Y135" s="196">
        <f>IF(X135="","",$B135*'AEO 2018_Table 13'!Y$36/'AEO 2018_Table 13'!$C$36)</f>
        <v>5.9444849882437314</v>
      </c>
      <c r="Z135" s="196">
        <f>IF(Y135="","",$B135*'AEO 2018_Table 13'!Z$36/'AEO 2018_Table 13'!$C$36)</f>
        <v>5.9593602107980832</v>
      </c>
      <c r="AA135" s="196">
        <f>IF(Z135="","",$B135*'AEO 2018_Table 13'!AA$36/'AEO 2018_Table 13'!$C$36)</f>
        <v>5.9609527548794228</v>
      </c>
      <c r="AB135" s="196">
        <f>IF(AA135="","",$B135*'AEO 2018_Table 13'!AB$36/'AEO 2018_Table 13'!$C$36)</f>
        <v>5.9737361492620691</v>
      </c>
      <c r="AC135" s="196">
        <f>IF(AB135="","",$B135*'AEO 2018_Table 13'!AC$36/'AEO 2018_Table 13'!$C$36)</f>
        <v>6.0085655187382887</v>
      </c>
      <c r="AD135" s="196">
        <f>IF(AC135="","",$B135*'AEO 2018_Table 13'!AD$36/'AEO 2018_Table 13'!$C$36)</f>
        <v>6.0423360616090775</v>
      </c>
      <c r="AE135" s="196">
        <f>IF(AD135="","",$B135*'AEO 2018_Table 13'!AE$36/'AEO 2018_Table 13'!$C$36)</f>
        <v>6.0555843066965469</v>
      </c>
      <c r="AF135" s="196">
        <f>IF(AE135="","",$B135*'AEO 2018_Table 13'!AF$36/'AEO 2018_Table 13'!$C$36)</f>
        <v>6.0847752092901857</v>
      </c>
      <c r="AG135" s="196">
        <f>IF(AF135="","",$B135*'AEO 2018_Table 13'!AG$36/'AEO 2018_Table 13'!$C$36)</f>
        <v>6.1103850397874062</v>
      </c>
      <c r="AH135" s="196">
        <f>IF(AG135="","",$B135*'AEO 2018_Table 13'!AH$36/'AEO 2018_Table 13'!$C$36)</f>
        <v>6.1203190715164126</v>
      </c>
      <c r="AI135" s="196">
        <f>IF(AH135="","",$B135*'AEO 2018_Table 13'!AI$36/'AEO 2018_Table 13'!$C$36)</f>
        <v>6.14880408970643</v>
      </c>
      <c r="AJ135" s="196">
        <f>IF(AI135="","",$B135*'AEO 2018_Table 13'!AJ$36/'AEO 2018_Table 13'!$C$36)</f>
        <v>6.1718055912488072</v>
      </c>
      <c r="AK135" s="196">
        <f>IF(AJ135="","",$B135*'AEO 2018_Table 13'!AK$36/'AEO 2018_Table 13'!$C$36)</f>
        <v>6.2081844630744376</v>
      </c>
    </row>
    <row r="136" spans="1:37" x14ac:dyDescent="0.25">
      <c r="A136" s="206" t="s">
        <v>1200</v>
      </c>
      <c r="B136" s="195">
        <v>0.40912889230769245</v>
      </c>
      <c r="C136" s="195">
        <f>IF(B136="","",$B136*'AEO 2018_Table 13'!C$36/'AEO 2018_Table 13'!$C$36)</f>
        <v>0.4091288923076925</v>
      </c>
      <c r="D136" s="195">
        <f>IF(C136="","",$B136*'AEO 2018_Table 13'!D$36/'AEO 2018_Table 13'!$C$36)</f>
        <v>0.3694054640466537</v>
      </c>
      <c r="E136" s="195">
        <f>IF(D136="","",$B136*'AEO 2018_Table 13'!E$36/'AEO 2018_Table 13'!$C$36)</f>
        <v>0.3869138088268172</v>
      </c>
      <c r="F136" s="195">
        <f>IF(E136="","",$B136*'AEO 2018_Table 13'!F$36/'AEO 2018_Table 13'!$C$36)</f>
        <v>0.39643455889004942</v>
      </c>
      <c r="G136" s="195">
        <f>IF(F136="","",$B136*'AEO 2018_Table 13'!G$36/'AEO 2018_Table 13'!$C$36)</f>
        <v>0.39776220874378415</v>
      </c>
      <c r="H136" s="195">
        <f>IF(G136="","",$B136*'AEO 2018_Table 13'!H$36/'AEO 2018_Table 13'!$C$36)</f>
        <v>0.39575536625039487</v>
      </c>
      <c r="I136" s="195">
        <f>IF(H136="","",$B136*'AEO 2018_Table 13'!I$36/'AEO 2018_Table 13'!$C$36)</f>
        <v>0.39920858171199264</v>
      </c>
      <c r="J136" s="195">
        <f>IF(I136="","",$B136*'AEO 2018_Table 13'!J$36/'AEO 2018_Table 13'!$C$36)</f>
        <v>0.40256597496444652</v>
      </c>
      <c r="K136" s="195">
        <f>IF(J136="","",$B136*'AEO 2018_Table 13'!K$36/'AEO 2018_Table 13'!$C$36)</f>
        <v>0.40550693333313709</v>
      </c>
      <c r="L136" s="195">
        <f>IF(K136="","",$B136*'AEO 2018_Table 13'!L$36/'AEO 2018_Table 13'!$C$36)</f>
        <v>0.40771687069747897</v>
      </c>
      <c r="M136" s="195">
        <f>IF(L136="","",$B136*'AEO 2018_Table 13'!M$36/'AEO 2018_Table 13'!$C$36)</f>
        <v>0.40592638149391758</v>
      </c>
      <c r="N136" s="195">
        <f>IF(M136="","",$B136*'AEO 2018_Table 13'!N$36/'AEO 2018_Table 13'!$C$36)</f>
        <v>0.40769638041376266</v>
      </c>
      <c r="O136" s="195">
        <f>IF(N136="","",$B136*'AEO 2018_Table 13'!O$36/'AEO 2018_Table 13'!$C$36)</f>
        <v>0.40922893310466019</v>
      </c>
      <c r="P136" s="195">
        <f>IF(O136="","",$B136*'AEO 2018_Table 13'!P$36/'AEO 2018_Table 13'!$C$36)</f>
        <v>0.41008892236534089</v>
      </c>
      <c r="Q136" s="195">
        <f>IF(P136="","",$B136*'AEO 2018_Table 13'!Q$36/'AEO 2018_Table 13'!$C$36)</f>
        <v>0.40905356038226492</v>
      </c>
      <c r="R136" s="195">
        <f>IF(Q136="","",$B136*'AEO 2018_Table 13'!R$36/'AEO 2018_Table 13'!$C$36)</f>
        <v>0.40928919864500229</v>
      </c>
      <c r="S136" s="195">
        <f>IF(R136="","",$B136*'AEO 2018_Table 13'!S$36/'AEO 2018_Table 13'!$C$36)</f>
        <v>0.41027574554040119</v>
      </c>
      <c r="T136" s="195">
        <f>IF(S136="","",$B136*'AEO 2018_Table 13'!T$36/'AEO 2018_Table 13'!$C$36)</f>
        <v>0.41001780902773727</v>
      </c>
      <c r="U136" s="195">
        <f>IF(T136="","",$B136*'AEO 2018_Table 13'!U$36/'AEO 2018_Table 13'!$C$36)</f>
        <v>0.41098808422724381</v>
      </c>
      <c r="V136" s="195">
        <f>IF(U136="","",$B136*'AEO 2018_Table 13'!V$36/'AEO 2018_Table 13'!$C$36)</f>
        <v>0.41206683739936595</v>
      </c>
      <c r="W136" s="195">
        <f>IF(V136="","",$B136*'AEO 2018_Table 13'!W$36/'AEO 2018_Table 13'!$C$36)</f>
        <v>0.41420144283828025</v>
      </c>
      <c r="X136" s="195">
        <f>IF(W136="","",$B136*'AEO 2018_Table 13'!X$36/'AEO 2018_Table 13'!$C$36)</f>
        <v>0.41523499685514587</v>
      </c>
      <c r="Y136" s="195">
        <f>IF(X136="","",$B136*'AEO 2018_Table 13'!Y$36/'AEO 2018_Table 13'!$C$36)</f>
        <v>0.41616308617641296</v>
      </c>
      <c r="Z136" s="195">
        <f>IF(Y136="","",$B136*'AEO 2018_Table 13'!Z$36/'AEO 2018_Table 13'!$C$36)</f>
        <v>0.41720447471352312</v>
      </c>
      <c r="AA136" s="195">
        <f>IF(Z136="","",$B136*'AEO 2018_Table 13'!AA$36/'AEO 2018_Table 13'!$C$36)</f>
        <v>0.41731596596315584</v>
      </c>
      <c r="AB136" s="195">
        <f>IF(AA136="","",$B136*'AEO 2018_Table 13'!AB$36/'AEO 2018_Table 13'!$C$36)</f>
        <v>0.41821090923723486</v>
      </c>
      <c r="AC136" s="195">
        <f>IF(AB136="","",$B136*'AEO 2018_Table 13'!AC$36/'AEO 2018_Table 13'!$C$36)</f>
        <v>0.42064925299947292</v>
      </c>
      <c r="AD136" s="195">
        <f>IF(AC136="","",$B136*'AEO 2018_Table 13'!AD$36/'AEO 2018_Table 13'!$C$36)</f>
        <v>0.42301347014709034</v>
      </c>
      <c r="AE136" s="195">
        <f>IF(AD136="","",$B136*'AEO 2018_Table 13'!AE$36/'AEO 2018_Table 13'!$C$36)</f>
        <v>0.42394095681295413</v>
      </c>
      <c r="AF136" s="195">
        <f>IF(AE136="","",$B136*'AEO 2018_Table 13'!AF$36/'AEO 2018_Table 13'!$C$36)</f>
        <v>0.42598456128595197</v>
      </c>
      <c r="AG136" s="195">
        <f>IF(AF136="","",$B136*'AEO 2018_Table 13'!AG$36/'AEO 2018_Table 13'!$C$36)</f>
        <v>0.42777746111112708</v>
      </c>
      <c r="AH136" s="195">
        <f>IF(AG136="","",$B136*'AEO 2018_Table 13'!AH$36/'AEO 2018_Table 13'!$C$36)</f>
        <v>0.42847292544667398</v>
      </c>
      <c r="AI136" s="195">
        <f>IF(AH136="","",$B136*'AEO 2018_Table 13'!AI$36/'AEO 2018_Table 13'!$C$36)</f>
        <v>0.43046711217659139</v>
      </c>
      <c r="AJ136" s="195">
        <f>IF(AI136="","",$B136*'AEO 2018_Table 13'!AJ$36/'AEO 2018_Table 13'!$C$36)</f>
        <v>0.4320774074145301</v>
      </c>
      <c r="AK136" s="195">
        <f>IF(AJ136="","",$B136*'AEO 2018_Table 13'!AK$36/'AEO 2018_Table 13'!$C$36)</f>
        <v>0.43462422914938392</v>
      </c>
    </row>
    <row r="137" spans="1:37" x14ac:dyDescent="0.25">
      <c r="A137" s="207" t="s">
        <v>1270</v>
      </c>
      <c r="B137" s="191"/>
      <c r="C137" s="191" t="str">
        <f>IF(B137="","",$B137*'AEO 2018_Table 13'!C$36/'AEO 2018_Table 13'!$C$36)</f>
        <v/>
      </c>
      <c r="D137" s="191" t="str">
        <f>IF(C137="","",$B137*'AEO 2018_Table 13'!D$36/'AEO 2018_Table 13'!$C$36)</f>
        <v/>
      </c>
      <c r="E137" s="191" t="str">
        <f>IF(D137="","",$B137*'AEO 2018_Table 13'!E$36/'AEO 2018_Table 13'!$C$36)</f>
        <v/>
      </c>
      <c r="F137" s="191" t="str">
        <f>IF(E137="","",$B137*'AEO 2018_Table 13'!F$36/'AEO 2018_Table 13'!$C$36)</f>
        <v/>
      </c>
      <c r="G137" s="191" t="str">
        <f>IF(F137="","",$B137*'AEO 2018_Table 13'!G$36/'AEO 2018_Table 13'!$C$36)</f>
        <v/>
      </c>
      <c r="H137" s="191" t="str">
        <f>IF(G137="","",$B137*'AEO 2018_Table 13'!H$36/'AEO 2018_Table 13'!$C$36)</f>
        <v/>
      </c>
      <c r="I137" s="191" t="str">
        <f>IF(H137="","",$B137*'AEO 2018_Table 13'!I$36/'AEO 2018_Table 13'!$C$36)</f>
        <v/>
      </c>
      <c r="J137" s="191" t="str">
        <f>IF(I137="","",$B137*'AEO 2018_Table 13'!J$36/'AEO 2018_Table 13'!$C$36)</f>
        <v/>
      </c>
      <c r="K137" s="191" t="str">
        <f>IF(J137="","",$B137*'AEO 2018_Table 13'!K$36/'AEO 2018_Table 13'!$C$36)</f>
        <v/>
      </c>
      <c r="L137" s="191" t="str">
        <f>IF(K137="","",$B137*'AEO 2018_Table 13'!L$36/'AEO 2018_Table 13'!$C$36)</f>
        <v/>
      </c>
      <c r="M137" s="191" t="str">
        <f>IF(L137="","",$B137*'AEO 2018_Table 13'!M$36/'AEO 2018_Table 13'!$C$36)</f>
        <v/>
      </c>
      <c r="N137" s="191" t="str">
        <f>IF(M137="","",$B137*'AEO 2018_Table 13'!N$36/'AEO 2018_Table 13'!$C$36)</f>
        <v/>
      </c>
      <c r="O137" s="191" t="str">
        <f>IF(N137="","",$B137*'AEO 2018_Table 13'!O$36/'AEO 2018_Table 13'!$C$36)</f>
        <v/>
      </c>
      <c r="P137" s="191" t="str">
        <f>IF(O137="","",$B137*'AEO 2018_Table 13'!P$36/'AEO 2018_Table 13'!$C$36)</f>
        <v/>
      </c>
      <c r="Q137" s="191" t="str">
        <f>IF(P137="","",$B137*'AEO 2018_Table 13'!Q$36/'AEO 2018_Table 13'!$C$36)</f>
        <v/>
      </c>
      <c r="R137" s="191" t="str">
        <f>IF(Q137="","",$B137*'AEO 2018_Table 13'!R$36/'AEO 2018_Table 13'!$C$36)</f>
        <v/>
      </c>
      <c r="S137" s="191" t="str">
        <f>IF(R137="","",$B137*'AEO 2018_Table 13'!S$36/'AEO 2018_Table 13'!$C$36)</f>
        <v/>
      </c>
      <c r="T137" s="191" t="str">
        <f>IF(S137="","",$B137*'AEO 2018_Table 13'!T$36/'AEO 2018_Table 13'!$C$36)</f>
        <v/>
      </c>
      <c r="U137" s="191" t="str">
        <f>IF(T137="","",$B137*'AEO 2018_Table 13'!U$36/'AEO 2018_Table 13'!$C$36)</f>
        <v/>
      </c>
      <c r="V137" s="191" t="str">
        <f>IF(U137="","",$B137*'AEO 2018_Table 13'!V$36/'AEO 2018_Table 13'!$C$36)</f>
        <v/>
      </c>
      <c r="W137" s="191" t="str">
        <f>IF(V137="","",$B137*'AEO 2018_Table 13'!W$36/'AEO 2018_Table 13'!$C$36)</f>
        <v/>
      </c>
      <c r="X137" s="191" t="str">
        <f>IF(W137="","",$B137*'AEO 2018_Table 13'!X$36/'AEO 2018_Table 13'!$C$36)</f>
        <v/>
      </c>
      <c r="Y137" s="191" t="str">
        <f>IF(X137="","",$B137*'AEO 2018_Table 13'!Y$36/'AEO 2018_Table 13'!$C$36)</f>
        <v/>
      </c>
      <c r="Z137" s="191" t="str">
        <f>IF(Y137="","",$B137*'AEO 2018_Table 13'!Z$36/'AEO 2018_Table 13'!$C$36)</f>
        <v/>
      </c>
      <c r="AA137" s="191" t="str">
        <f>IF(Z137="","",$B137*'AEO 2018_Table 13'!AA$36/'AEO 2018_Table 13'!$C$36)</f>
        <v/>
      </c>
      <c r="AB137" s="191" t="str">
        <f>IF(AA137="","",$B137*'AEO 2018_Table 13'!AB$36/'AEO 2018_Table 13'!$C$36)</f>
        <v/>
      </c>
      <c r="AC137" s="191" t="str">
        <f>IF(AB137="","",$B137*'AEO 2018_Table 13'!AC$36/'AEO 2018_Table 13'!$C$36)</f>
        <v/>
      </c>
      <c r="AD137" s="191" t="str">
        <f>IF(AC137="","",$B137*'AEO 2018_Table 13'!AD$36/'AEO 2018_Table 13'!$C$36)</f>
        <v/>
      </c>
      <c r="AE137" s="191" t="str">
        <f>IF(AD137="","",$B137*'AEO 2018_Table 13'!AE$36/'AEO 2018_Table 13'!$C$36)</f>
        <v/>
      </c>
      <c r="AF137" s="191" t="str">
        <f>IF(AE137="","",$B137*'AEO 2018_Table 13'!AF$36/'AEO 2018_Table 13'!$C$36)</f>
        <v/>
      </c>
      <c r="AG137" s="191" t="str">
        <f>IF(AF137="","",$B137*'AEO 2018_Table 13'!AG$36/'AEO 2018_Table 13'!$C$36)</f>
        <v/>
      </c>
      <c r="AH137" s="191" t="str">
        <f>IF(AG137="","",$B137*'AEO 2018_Table 13'!AH$36/'AEO 2018_Table 13'!$C$36)</f>
        <v/>
      </c>
      <c r="AI137" s="191" t="str">
        <f>IF(AH137="","",$B137*'AEO 2018_Table 13'!AI$36/'AEO 2018_Table 13'!$C$36)</f>
        <v/>
      </c>
      <c r="AJ137" s="191" t="str">
        <f>IF(AI137="","",$B137*'AEO 2018_Table 13'!AJ$36/'AEO 2018_Table 13'!$C$36)</f>
        <v/>
      </c>
      <c r="AK137" s="191" t="str">
        <f>IF(AJ137="","",$B137*'AEO 2018_Table 13'!AK$36/'AEO 2018_Table 13'!$C$36)</f>
        <v/>
      </c>
    </row>
    <row r="138" spans="1:37" x14ac:dyDescent="0.25">
      <c r="A138" s="217" t="s">
        <v>1271</v>
      </c>
      <c r="B138" s="218">
        <v>183.63994080299997</v>
      </c>
      <c r="C138" s="218">
        <f>IF(B138="","",$B138*'AEO 2018_Table 13'!C$36/'AEO 2018_Table 13'!$C$36)</f>
        <v>183.63994080299997</v>
      </c>
      <c r="D138" s="218">
        <f>IF(C138="","",$B138*'AEO 2018_Table 13'!D$36/'AEO 2018_Table 13'!$C$36)</f>
        <v>165.80984336548343</v>
      </c>
      <c r="E138" s="218">
        <f>IF(D138="","",$B138*'AEO 2018_Table 13'!E$36/'AEO 2018_Table 13'!$C$36)</f>
        <v>173.66856823053075</v>
      </c>
      <c r="F138" s="218">
        <f>IF(E138="","",$B138*'AEO 2018_Table 13'!F$36/'AEO 2018_Table 13'!$C$36)</f>
        <v>177.94201361873186</v>
      </c>
      <c r="G138" s="218">
        <f>IF(F138="","",$B138*'AEO 2018_Table 13'!G$36/'AEO 2018_Table 13'!$C$36)</f>
        <v>178.53793716539644</v>
      </c>
      <c r="H138" s="218">
        <f>IF(G138="","",$B138*'AEO 2018_Table 13'!H$36/'AEO 2018_Table 13'!$C$36)</f>
        <v>177.63715395595793</v>
      </c>
      <c r="I138" s="218">
        <f>IF(H138="","",$B138*'AEO 2018_Table 13'!I$36/'AEO 2018_Table 13'!$C$36)</f>
        <v>179.18715028931609</v>
      </c>
      <c r="J138" s="218">
        <f>IF(I138="","",$B138*'AEO 2018_Table 13'!J$36/'AEO 2018_Table 13'!$C$36)</f>
        <v>180.69413625321459</v>
      </c>
      <c r="K138" s="218">
        <f>IF(J138="","",$B138*'AEO 2018_Table 13'!K$36/'AEO 2018_Table 13'!$C$36)</f>
        <v>182.01420293851785</v>
      </c>
      <c r="L138" s="218">
        <f>IF(K138="","",$B138*'AEO 2018_Table 13'!L$36/'AEO 2018_Table 13'!$C$36)</f>
        <v>183.0061464907734</v>
      </c>
      <c r="M138" s="218">
        <f>IF(L138="","",$B138*'AEO 2018_Table 13'!M$36/'AEO 2018_Table 13'!$C$36)</f>
        <v>182.20247474445458</v>
      </c>
      <c r="N138" s="218">
        <f>IF(M138="","",$B138*'AEO 2018_Table 13'!N$36/'AEO 2018_Table 13'!$C$36)</f>
        <v>182.99694930485123</v>
      </c>
      <c r="O138" s="218">
        <f>IF(N138="","",$B138*'AEO 2018_Table 13'!O$36/'AEO 2018_Table 13'!$C$36)</f>
        <v>183.68484471073776</v>
      </c>
      <c r="P138" s="218">
        <f>IF(O138="","",$B138*'AEO 2018_Table 13'!P$36/'AEO 2018_Table 13'!$C$36)</f>
        <v>184.07085601400166</v>
      </c>
      <c r="Q138" s="218">
        <f>IF(P138="","",$B138*'AEO 2018_Table 13'!Q$36/'AEO 2018_Table 13'!$C$36)</f>
        <v>183.60612761946251</v>
      </c>
      <c r="R138" s="218">
        <f>IF(Q138="","",$B138*'AEO 2018_Table 13'!R$36/'AEO 2018_Table 13'!$C$36)</f>
        <v>183.71189525756776</v>
      </c>
      <c r="S138" s="218">
        <f>IF(R138="","",$B138*'AEO 2018_Table 13'!S$36/'AEO 2018_Table 13'!$C$36)</f>
        <v>184.15471270917462</v>
      </c>
      <c r="T138" s="218">
        <f>IF(S138="","",$B138*'AEO 2018_Table 13'!T$36/'AEO 2018_Table 13'!$C$36)</f>
        <v>184.03893636874224</v>
      </c>
      <c r="U138" s="218">
        <f>IF(T138="","",$B138*'AEO 2018_Table 13'!U$36/'AEO 2018_Table 13'!$C$36)</f>
        <v>184.47445017270502</v>
      </c>
      <c r="V138" s="218">
        <f>IF(U138="","",$B138*'AEO 2018_Table 13'!V$36/'AEO 2018_Table 13'!$C$36)</f>
        <v>184.95865496096178</v>
      </c>
      <c r="W138" s="218">
        <f>IF(V138="","",$B138*'AEO 2018_Table 13'!W$36/'AEO 2018_Table 13'!$C$36)</f>
        <v>185.91678532967984</v>
      </c>
      <c r="X138" s="218">
        <f>IF(W138="","",$B138*'AEO 2018_Table 13'!X$36/'AEO 2018_Table 13'!$C$36)</f>
        <v>186.3807022078141</v>
      </c>
      <c r="Y138" s="218">
        <f>IF(X138="","",$B138*'AEO 2018_Table 13'!Y$36/'AEO 2018_Table 13'!$C$36)</f>
        <v>186.79728062899588</v>
      </c>
      <c r="Z138" s="218">
        <f>IF(Y138="","",$B138*'AEO 2018_Table 13'!Z$36/'AEO 2018_Table 13'!$C$36)</f>
        <v>187.26471407821805</v>
      </c>
      <c r="AA138" s="218">
        <f>IF(Z138="","",$B138*'AEO 2018_Table 13'!AA$36/'AEO 2018_Table 13'!$C$36)</f>
        <v>187.31475758985351</v>
      </c>
      <c r="AB138" s="218">
        <f>IF(AA138="","",$B138*'AEO 2018_Table 13'!AB$36/'AEO 2018_Table 13'!$C$36)</f>
        <v>187.71645821027877</v>
      </c>
      <c r="AC138" s="218">
        <f>IF(AB138="","",$B138*'AEO 2018_Table 13'!AC$36/'AEO 2018_Table 13'!$C$36)</f>
        <v>188.81092333501999</v>
      </c>
      <c r="AD138" s="218">
        <f>IF(AC138="","",$B138*'AEO 2018_Table 13'!AD$36/'AEO 2018_Table 13'!$C$36)</f>
        <v>189.87211628716034</v>
      </c>
      <c r="AE138" s="218">
        <f>IF(AD138="","",$B138*'AEO 2018_Table 13'!AE$36/'AEO 2018_Table 13'!$C$36)</f>
        <v>190.28842420287384</v>
      </c>
      <c r="AF138" s="218">
        <f>IF(AE138="","",$B138*'AEO 2018_Table 13'!AF$36/'AEO 2018_Table 13'!$C$36)</f>
        <v>191.20570824587861</v>
      </c>
      <c r="AG138" s="218">
        <f>IF(AF138="","",$B138*'AEO 2018_Table 13'!AG$36/'AEO 2018_Table 13'!$C$36)</f>
        <v>192.01046201407067</v>
      </c>
      <c r="AH138" s="218">
        <f>IF(AG138="","",$B138*'AEO 2018_Table 13'!AH$36/'AEO 2018_Table 13'!$C$36)</f>
        <v>192.32262532448871</v>
      </c>
      <c r="AI138" s="218">
        <f>IF(AH138="","",$B138*'AEO 2018_Table 13'!AI$36/'AEO 2018_Table 13'!$C$36)</f>
        <v>193.21772791909294</v>
      </c>
      <c r="AJ138" s="218">
        <f>IF(AI138="","",$B138*'AEO 2018_Table 13'!AJ$36/'AEO 2018_Table 13'!$C$36)</f>
        <v>193.94051853039014</v>
      </c>
      <c r="AK138" s="218">
        <f>IF(AJ138="","",$B138*'AEO 2018_Table 13'!AK$36/'AEO 2018_Table 13'!$C$36)</f>
        <v>195.08367463942531</v>
      </c>
    </row>
    <row r="139" spans="1:37" x14ac:dyDescent="0.25">
      <c r="A139" s="207" t="s">
        <v>1272</v>
      </c>
      <c r="B139" s="191"/>
      <c r="C139" s="191" t="str">
        <f>IF(B139="","",$B139*'AEO 2018_Table 13'!C$36/'AEO 2018_Table 13'!$C$36)</f>
        <v/>
      </c>
      <c r="D139" s="191" t="str">
        <f>IF(C139="","",$B139*'AEO 2018_Table 13'!D$36/'AEO 2018_Table 13'!$C$36)</f>
        <v/>
      </c>
      <c r="E139" s="191" t="str">
        <f>IF(D139="","",$B139*'AEO 2018_Table 13'!E$36/'AEO 2018_Table 13'!$C$36)</f>
        <v/>
      </c>
      <c r="F139" s="191" t="str">
        <f>IF(E139="","",$B139*'AEO 2018_Table 13'!F$36/'AEO 2018_Table 13'!$C$36)</f>
        <v/>
      </c>
      <c r="G139" s="191" t="str">
        <f>IF(F139="","",$B139*'AEO 2018_Table 13'!G$36/'AEO 2018_Table 13'!$C$36)</f>
        <v/>
      </c>
      <c r="H139" s="191" t="str">
        <f>IF(G139="","",$B139*'AEO 2018_Table 13'!H$36/'AEO 2018_Table 13'!$C$36)</f>
        <v/>
      </c>
      <c r="I139" s="191" t="str">
        <f>IF(H139="","",$B139*'AEO 2018_Table 13'!I$36/'AEO 2018_Table 13'!$C$36)</f>
        <v/>
      </c>
      <c r="J139" s="191" t="str">
        <f>IF(I139="","",$B139*'AEO 2018_Table 13'!J$36/'AEO 2018_Table 13'!$C$36)</f>
        <v/>
      </c>
      <c r="K139" s="191" t="str">
        <f>IF(J139="","",$B139*'AEO 2018_Table 13'!K$36/'AEO 2018_Table 13'!$C$36)</f>
        <v/>
      </c>
      <c r="L139" s="191" t="str">
        <f>IF(K139="","",$B139*'AEO 2018_Table 13'!L$36/'AEO 2018_Table 13'!$C$36)</f>
        <v/>
      </c>
      <c r="M139" s="191" t="str">
        <f>IF(L139="","",$B139*'AEO 2018_Table 13'!M$36/'AEO 2018_Table 13'!$C$36)</f>
        <v/>
      </c>
      <c r="N139" s="191" t="str">
        <f>IF(M139="","",$B139*'AEO 2018_Table 13'!N$36/'AEO 2018_Table 13'!$C$36)</f>
        <v/>
      </c>
      <c r="O139" s="191" t="str">
        <f>IF(N139="","",$B139*'AEO 2018_Table 13'!O$36/'AEO 2018_Table 13'!$C$36)</f>
        <v/>
      </c>
      <c r="P139" s="191" t="str">
        <f>IF(O139="","",$B139*'AEO 2018_Table 13'!P$36/'AEO 2018_Table 13'!$C$36)</f>
        <v/>
      </c>
      <c r="Q139" s="191" t="str">
        <f>IF(P139="","",$B139*'AEO 2018_Table 13'!Q$36/'AEO 2018_Table 13'!$C$36)</f>
        <v/>
      </c>
      <c r="R139" s="191" t="str">
        <f>IF(Q139="","",$B139*'AEO 2018_Table 13'!R$36/'AEO 2018_Table 13'!$C$36)</f>
        <v/>
      </c>
      <c r="S139" s="191" t="str">
        <f>IF(R139="","",$B139*'AEO 2018_Table 13'!S$36/'AEO 2018_Table 13'!$C$36)</f>
        <v/>
      </c>
      <c r="T139" s="191" t="str">
        <f>IF(S139="","",$B139*'AEO 2018_Table 13'!T$36/'AEO 2018_Table 13'!$C$36)</f>
        <v/>
      </c>
      <c r="U139" s="191" t="str">
        <f>IF(T139="","",$B139*'AEO 2018_Table 13'!U$36/'AEO 2018_Table 13'!$C$36)</f>
        <v/>
      </c>
      <c r="V139" s="191" t="str">
        <f>IF(U139="","",$B139*'AEO 2018_Table 13'!V$36/'AEO 2018_Table 13'!$C$36)</f>
        <v/>
      </c>
      <c r="W139" s="191" t="str">
        <f>IF(V139="","",$B139*'AEO 2018_Table 13'!W$36/'AEO 2018_Table 13'!$C$36)</f>
        <v/>
      </c>
      <c r="X139" s="191" t="str">
        <f>IF(W139="","",$B139*'AEO 2018_Table 13'!X$36/'AEO 2018_Table 13'!$C$36)</f>
        <v/>
      </c>
      <c r="Y139" s="191" t="str">
        <f>IF(X139="","",$B139*'AEO 2018_Table 13'!Y$36/'AEO 2018_Table 13'!$C$36)</f>
        <v/>
      </c>
      <c r="Z139" s="191" t="str">
        <f>IF(Y139="","",$B139*'AEO 2018_Table 13'!Z$36/'AEO 2018_Table 13'!$C$36)</f>
        <v/>
      </c>
      <c r="AA139" s="191" t="str">
        <f>IF(Z139="","",$B139*'AEO 2018_Table 13'!AA$36/'AEO 2018_Table 13'!$C$36)</f>
        <v/>
      </c>
      <c r="AB139" s="191" t="str">
        <f>IF(AA139="","",$B139*'AEO 2018_Table 13'!AB$36/'AEO 2018_Table 13'!$C$36)</f>
        <v/>
      </c>
      <c r="AC139" s="191" t="str">
        <f>IF(AB139="","",$B139*'AEO 2018_Table 13'!AC$36/'AEO 2018_Table 13'!$C$36)</f>
        <v/>
      </c>
      <c r="AD139" s="191" t="str">
        <f>IF(AC139="","",$B139*'AEO 2018_Table 13'!AD$36/'AEO 2018_Table 13'!$C$36)</f>
        <v/>
      </c>
      <c r="AE139" s="191" t="str">
        <f>IF(AD139="","",$B139*'AEO 2018_Table 13'!AE$36/'AEO 2018_Table 13'!$C$36)</f>
        <v/>
      </c>
      <c r="AF139" s="191" t="str">
        <f>IF(AE139="","",$B139*'AEO 2018_Table 13'!AF$36/'AEO 2018_Table 13'!$C$36)</f>
        <v/>
      </c>
      <c r="AG139" s="191" t="str">
        <f>IF(AF139="","",$B139*'AEO 2018_Table 13'!AG$36/'AEO 2018_Table 13'!$C$36)</f>
        <v/>
      </c>
      <c r="AH139" s="191" t="str">
        <f>IF(AG139="","",$B139*'AEO 2018_Table 13'!AH$36/'AEO 2018_Table 13'!$C$36)</f>
        <v/>
      </c>
      <c r="AI139" s="191" t="str">
        <f>IF(AH139="","",$B139*'AEO 2018_Table 13'!AI$36/'AEO 2018_Table 13'!$C$36)</f>
        <v/>
      </c>
      <c r="AJ139" s="191" t="str">
        <f>IF(AI139="","",$B139*'AEO 2018_Table 13'!AJ$36/'AEO 2018_Table 13'!$C$36)</f>
        <v/>
      </c>
      <c r="AK139" s="191" t="str">
        <f>IF(AJ139="","",$B139*'AEO 2018_Table 13'!AK$36/'AEO 2018_Table 13'!$C$36)</f>
        <v/>
      </c>
    </row>
    <row r="140" spans="1:37" x14ac:dyDescent="0.25">
      <c r="A140" s="213" t="s">
        <v>1273</v>
      </c>
      <c r="B140" s="193">
        <v>153.96554321279999</v>
      </c>
      <c r="C140" s="193">
        <f>IF(B140="","",$B140*'AEO 2018_Table 13'!C$36/'AEO 2018_Table 13'!$C$36)</f>
        <v>153.96554321279999</v>
      </c>
      <c r="D140" s="193">
        <f>IF(C140="","",$B140*'AEO 2018_Table 13'!D$36/'AEO 2018_Table 13'!$C$36)</f>
        <v>139.01661311894131</v>
      </c>
      <c r="E140" s="193">
        <f>IF(D140="","",$B140*'AEO 2018_Table 13'!E$36/'AEO 2018_Table 13'!$C$36)</f>
        <v>145.60544579616894</v>
      </c>
      <c r="F140" s="193">
        <f>IF(E140="","",$B140*'AEO 2018_Table 13'!F$36/'AEO 2018_Table 13'!$C$36)</f>
        <v>149.18834468901082</v>
      </c>
      <c r="G140" s="193">
        <f>IF(F140="","",$B140*'AEO 2018_Table 13'!G$36/'AEO 2018_Table 13'!$C$36)</f>
        <v>149.68797288630992</v>
      </c>
      <c r="H140" s="193">
        <f>IF(G140="","",$B140*'AEO 2018_Table 13'!H$36/'AEO 2018_Table 13'!$C$36)</f>
        <v>148.93274733160908</v>
      </c>
      <c r="I140" s="193">
        <f>IF(H140="","",$B140*'AEO 2018_Table 13'!I$36/'AEO 2018_Table 13'!$C$36)</f>
        <v>150.23227959240057</v>
      </c>
      <c r="J140" s="193">
        <f>IF(I140="","",$B140*'AEO 2018_Table 13'!J$36/'AEO 2018_Table 13'!$C$36)</f>
        <v>151.49575153391356</v>
      </c>
      <c r="K140" s="193">
        <f>IF(J140="","",$B140*'AEO 2018_Table 13'!K$36/'AEO 2018_Table 13'!$C$36)</f>
        <v>152.60250850296458</v>
      </c>
      <c r="L140" s="193">
        <f>IF(K140="","",$B140*'AEO 2018_Table 13'!L$36/'AEO 2018_Table 13'!$C$36)</f>
        <v>153.43416379097897</v>
      </c>
      <c r="M140" s="193">
        <f>IF(L140="","",$B140*'AEO 2018_Table 13'!M$36/'AEO 2018_Table 13'!$C$36)</f>
        <v>152.76035744773091</v>
      </c>
      <c r="N140" s="193">
        <f>IF(M140="","",$B140*'AEO 2018_Table 13'!N$36/'AEO 2018_Table 13'!$C$36)</f>
        <v>153.42645277930936</v>
      </c>
      <c r="O140" s="193">
        <f>IF(N140="","",$B140*'AEO 2018_Table 13'!O$36/'AEO 2018_Table 13'!$C$36)</f>
        <v>154.00319109330459</v>
      </c>
      <c r="P140" s="193">
        <f>IF(O140="","",$B140*'AEO 2018_Table 13'!P$36/'AEO 2018_Table 13'!$C$36)</f>
        <v>154.32682678896768</v>
      </c>
      <c r="Q140" s="193">
        <f>IF(P140="","",$B140*'AEO 2018_Table 13'!Q$36/'AEO 2018_Table 13'!$C$36)</f>
        <v>153.93719390519109</v>
      </c>
      <c r="R140" s="193">
        <f>IF(Q140="","",$B140*'AEO 2018_Table 13'!R$36/'AEO 2018_Table 13'!$C$36)</f>
        <v>154.02587053939172</v>
      </c>
      <c r="S140" s="193">
        <f>IF(R140="","",$B140*'AEO 2018_Table 13'!S$36/'AEO 2018_Table 13'!$C$36)</f>
        <v>154.39713307183774</v>
      </c>
      <c r="T140" s="193">
        <f>IF(S140="","",$B140*'AEO 2018_Table 13'!T$36/'AEO 2018_Table 13'!$C$36)</f>
        <v>154.30006504258486</v>
      </c>
      <c r="U140" s="193">
        <f>IF(T140="","",$B140*'AEO 2018_Table 13'!U$36/'AEO 2018_Table 13'!$C$36)</f>
        <v>154.66520412458738</v>
      </c>
      <c r="V140" s="193">
        <f>IF(U140="","",$B140*'AEO 2018_Table 13'!V$36/'AEO 2018_Table 13'!$C$36)</f>
        <v>155.07116620954667</v>
      </c>
      <c r="W140" s="193">
        <f>IF(V140="","",$B140*'AEO 2018_Table 13'!W$36/'AEO 2018_Table 13'!$C$36)</f>
        <v>155.87447218995217</v>
      </c>
      <c r="X140" s="193">
        <f>IF(W140="","",$B140*'AEO 2018_Table 13'!X$36/'AEO 2018_Table 13'!$C$36)</f>
        <v>156.26342469034614</v>
      </c>
      <c r="Y140" s="193">
        <f>IF(X140="","",$B140*'AEO 2018_Table 13'!Y$36/'AEO 2018_Table 13'!$C$36)</f>
        <v>156.61268816008763</v>
      </c>
      <c r="Z140" s="193">
        <f>IF(Y140="","",$B140*'AEO 2018_Table 13'!Z$36/'AEO 2018_Table 13'!$C$36)</f>
        <v>157.00458898847293</v>
      </c>
      <c r="AA140" s="193">
        <f>IF(Z140="","",$B140*'AEO 2018_Table 13'!AA$36/'AEO 2018_Table 13'!$C$36)</f>
        <v>157.0465459637341</v>
      </c>
      <c r="AB140" s="193">
        <f>IF(AA140="","",$B140*'AEO 2018_Table 13'!AB$36/'AEO 2018_Table 13'!$C$36)</f>
        <v>157.3833357381277</v>
      </c>
      <c r="AC140" s="193">
        <f>IF(AB140="","",$B140*'AEO 2018_Table 13'!AC$36/'AEO 2018_Table 13'!$C$36)</f>
        <v>158.30094612681222</v>
      </c>
      <c r="AD140" s="193">
        <f>IF(AC140="","",$B140*'AEO 2018_Table 13'!AD$36/'AEO 2018_Table 13'!$C$36)</f>
        <v>159.1906607968096</v>
      </c>
      <c r="AE140" s="193">
        <f>IF(AD140="","",$B140*'AEO 2018_Table 13'!AE$36/'AEO 2018_Table 13'!$C$36)</f>
        <v>159.53969747209027</v>
      </c>
      <c r="AF140" s="193">
        <f>IF(AE140="","",$B140*'AEO 2018_Table 13'!AF$36/'AEO 2018_Table 13'!$C$36)</f>
        <v>160.30875748890421</v>
      </c>
      <c r="AG140" s="193">
        <f>IF(AF140="","",$B140*'AEO 2018_Table 13'!AG$36/'AEO 2018_Table 13'!$C$36)</f>
        <v>160.98347100999581</v>
      </c>
      <c r="AH140" s="193">
        <f>IF(AG140="","",$B140*'AEO 2018_Table 13'!AH$36/'AEO 2018_Table 13'!$C$36)</f>
        <v>161.24519181784106</v>
      </c>
      <c r="AI140" s="193">
        <f>IF(AH140="","",$B140*'AEO 2018_Table 13'!AI$36/'AEO 2018_Table 13'!$C$36)</f>
        <v>161.99565468886357</v>
      </c>
      <c r="AJ140" s="193">
        <f>IF(AI140="","",$B140*'AEO 2018_Table 13'!AJ$36/'AEO 2018_Table 13'!$C$36)</f>
        <v>162.60164948831121</v>
      </c>
      <c r="AK140" s="193">
        <f>IF(AJ140="","",$B140*'AEO 2018_Table 13'!AK$36/'AEO 2018_Table 13'!$C$36)</f>
        <v>163.56008287995252</v>
      </c>
    </row>
    <row r="141" spans="1:37" x14ac:dyDescent="0.25">
      <c r="A141" s="206" t="s">
        <v>1274</v>
      </c>
      <c r="B141" s="195">
        <v>29.2899901392</v>
      </c>
      <c r="C141" s="195">
        <f>IF(B141="","",$B141*'AEO 2018_Table 13'!C$36/'AEO 2018_Table 13'!$C$36)</f>
        <v>29.2899901392</v>
      </c>
      <c r="D141" s="195">
        <f>IF(C141="","",$B141*'AEO 2018_Table 13'!D$36/'AEO 2018_Table 13'!$C$36)</f>
        <v>26.446145952351387</v>
      </c>
      <c r="E141" s="195">
        <f>IF(D141="","",$B141*'AEO 2018_Table 13'!E$36/'AEO 2018_Table 13'!$C$36)</f>
        <v>27.699587729763259</v>
      </c>
      <c r="F141" s="195">
        <f>IF(E141="","",$B141*'AEO 2018_Table 13'!F$36/'AEO 2018_Table 13'!$C$36)</f>
        <v>28.381188762379004</v>
      </c>
      <c r="G141" s="195">
        <f>IF(F141="","",$B141*'AEO 2018_Table 13'!G$36/'AEO 2018_Table 13'!$C$36)</f>
        <v>28.47623668457501</v>
      </c>
      <c r="H141" s="195">
        <f>IF(G141="","",$B141*'AEO 2018_Table 13'!H$36/'AEO 2018_Table 13'!$C$36)</f>
        <v>28.332564609716769</v>
      </c>
      <c r="I141" s="195">
        <f>IF(H141="","",$B141*'AEO 2018_Table 13'!I$36/'AEO 2018_Table 13'!$C$36)</f>
        <v>28.57978412591428</v>
      </c>
      <c r="J141" s="195">
        <f>IF(I141="","",$B141*'AEO 2018_Table 13'!J$36/'AEO 2018_Table 13'!$C$36)</f>
        <v>28.820143624123062</v>
      </c>
      <c r="K141" s="195">
        <f>IF(J141="","",$B141*'AEO 2018_Table 13'!K$36/'AEO 2018_Table 13'!$C$36)</f>
        <v>29.030690088179579</v>
      </c>
      <c r="L141" s="195">
        <f>IF(K141="","",$B141*'AEO 2018_Table 13'!L$36/'AEO 2018_Table 13'!$C$36)</f>
        <v>29.188901949592541</v>
      </c>
      <c r="M141" s="195">
        <f>IF(L141="","",$B141*'AEO 2018_Table 13'!M$36/'AEO 2018_Table 13'!$C$36)</f>
        <v>29.060718846167966</v>
      </c>
      <c r="N141" s="195">
        <f>IF(M141="","",$B141*'AEO 2018_Table 13'!N$36/'AEO 2018_Table 13'!$C$36)</f>
        <v>29.187435027506901</v>
      </c>
      <c r="O141" s="195">
        <f>IF(N141="","",$B141*'AEO 2018_Table 13'!O$36/'AEO 2018_Table 13'!$C$36)</f>
        <v>29.297152170559301</v>
      </c>
      <c r="P141" s="195">
        <f>IF(O141="","",$B141*'AEO 2018_Table 13'!P$36/'AEO 2018_Table 13'!$C$36)</f>
        <v>29.358719753388943</v>
      </c>
      <c r="Q141" s="195">
        <f>IF(P141="","",$B141*'AEO 2018_Table 13'!Q$36/'AEO 2018_Table 13'!$C$36)</f>
        <v>29.284597043296916</v>
      </c>
      <c r="R141" s="195">
        <f>IF(Q141="","",$B141*'AEO 2018_Table 13'!R$36/'AEO 2018_Table 13'!$C$36)</f>
        <v>29.301466647281771</v>
      </c>
      <c r="S141" s="195">
        <f>IF(R141="","",$B141*'AEO 2018_Table 13'!S$36/'AEO 2018_Table 13'!$C$36)</f>
        <v>29.372094631228602</v>
      </c>
      <c r="T141" s="195">
        <f>IF(S141="","",$B141*'AEO 2018_Table 13'!T$36/'AEO 2018_Table 13'!$C$36)</f>
        <v>29.353628670856427</v>
      </c>
      <c r="U141" s="195">
        <f>IF(T141="","",$B141*'AEO 2018_Table 13'!U$36/'AEO 2018_Table 13'!$C$36)</f>
        <v>29.42309174608819</v>
      </c>
      <c r="V141" s="195">
        <f>IF(U141="","",$B141*'AEO 2018_Table 13'!V$36/'AEO 2018_Table 13'!$C$36)</f>
        <v>29.500320879420396</v>
      </c>
      <c r="W141" s="195">
        <f>IF(V141="","",$B141*'AEO 2018_Table 13'!W$36/'AEO 2018_Table 13'!$C$36)</f>
        <v>29.653139644930267</v>
      </c>
      <c r="X141" s="195">
        <f>IF(W141="","",$B141*'AEO 2018_Table 13'!X$36/'AEO 2018_Table 13'!$C$36)</f>
        <v>29.727132920720624</v>
      </c>
      <c r="Y141" s="195">
        <f>IF(X141="","",$B141*'AEO 2018_Table 13'!Y$36/'AEO 2018_Table 13'!$C$36)</f>
        <v>29.793575862246652</v>
      </c>
      <c r="Z141" s="195">
        <f>IF(Y141="","",$B141*'AEO 2018_Table 13'!Z$36/'AEO 2018_Table 13'!$C$36)</f>
        <v>29.868130020010931</v>
      </c>
      <c r="AA141" s="195">
        <f>IF(Z141="","",$B141*'AEO 2018_Table 13'!AA$36/'AEO 2018_Table 13'!$C$36)</f>
        <v>29.876111801947498</v>
      </c>
      <c r="AB141" s="195">
        <f>IF(AA141="","",$B141*'AEO 2018_Table 13'!AB$36/'AEO 2018_Table 13'!$C$36)</f>
        <v>29.94018178127617</v>
      </c>
      <c r="AC141" s="195">
        <f>IF(AB141="","",$B141*'AEO 2018_Table 13'!AC$36/'AEO 2018_Table 13'!$C$36)</f>
        <v>30.114745509467291</v>
      </c>
      <c r="AD141" s="195">
        <f>IF(AC141="","",$B141*'AEO 2018_Table 13'!AD$36/'AEO 2018_Table 13'!$C$36)</f>
        <v>30.284002431289775</v>
      </c>
      <c r="AE141" s="195">
        <f>IF(AD141="","",$B141*'AEO 2018_Table 13'!AE$36/'AEO 2018_Table 13'!$C$36)</f>
        <v>30.350402228048587</v>
      </c>
      <c r="AF141" s="195">
        <f>IF(AE141="","",$B141*'AEO 2018_Table 13'!AF$36/'AEO 2018_Table 13'!$C$36)</f>
        <v>30.496706133707526</v>
      </c>
      <c r="AG141" s="195">
        <f>IF(AF141="","",$B141*'AEO 2018_Table 13'!AG$36/'AEO 2018_Table 13'!$C$36)</f>
        <v>30.625061816200997</v>
      </c>
      <c r="AH141" s="195">
        <f>IF(AG141="","",$B141*'AEO 2018_Table 13'!AH$36/'AEO 2018_Table 13'!$C$36)</f>
        <v>30.674850877578297</v>
      </c>
      <c r="AI141" s="195">
        <f>IF(AH141="","",$B141*'AEO 2018_Table 13'!AI$36/'AEO 2018_Table 13'!$C$36)</f>
        <v>30.817616912324819</v>
      </c>
      <c r="AJ141" s="195">
        <f>IF(AI141="","",$B141*'AEO 2018_Table 13'!AJ$36/'AEO 2018_Table 13'!$C$36)</f>
        <v>30.932899730349206</v>
      </c>
      <c r="AK141" s="195">
        <f>IF(AJ141="","",$B141*'AEO 2018_Table 13'!AK$36/'AEO 2018_Table 13'!$C$36)</f>
        <v>31.11522951664077</v>
      </c>
    </row>
    <row r="142" spans="1:37" x14ac:dyDescent="0.25">
      <c r="A142" s="219" t="s">
        <v>1275</v>
      </c>
      <c r="B142" s="221"/>
      <c r="C142" s="221" t="str">
        <f>IF(B142="","",$B142*'AEO 2018_Table 13'!C$36/'AEO 2018_Table 13'!$C$36)</f>
        <v/>
      </c>
      <c r="D142" s="221" t="str">
        <f>IF(C142="","",$B142*'AEO 2018_Table 13'!D$36/'AEO 2018_Table 13'!$C$36)</f>
        <v/>
      </c>
      <c r="E142" s="221" t="str">
        <f>IF(D142="","",$B142*'AEO 2018_Table 13'!E$36/'AEO 2018_Table 13'!$C$36)</f>
        <v/>
      </c>
      <c r="F142" s="221" t="str">
        <f>IF(E142="","",$B142*'AEO 2018_Table 13'!F$36/'AEO 2018_Table 13'!$C$36)</f>
        <v/>
      </c>
      <c r="G142" s="221" t="str">
        <f>IF(F142="","",$B142*'AEO 2018_Table 13'!G$36/'AEO 2018_Table 13'!$C$36)</f>
        <v/>
      </c>
      <c r="H142" s="221" t="str">
        <f>IF(G142="","",$B142*'AEO 2018_Table 13'!H$36/'AEO 2018_Table 13'!$C$36)</f>
        <v/>
      </c>
      <c r="I142" s="221" t="str">
        <f>IF(H142="","",$B142*'AEO 2018_Table 13'!I$36/'AEO 2018_Table 13'!$C$36)</f>
        <v/>
      </c>
      <c r="J142" s="221" t="str">
        <f>IF(I142="","",$B142*'AEO 2018_Table 13'!J$36/'AEO 2018_Table 13'!$C$36)</f>
        <v/>
      </c>
      <c r="K142" s="221" t="str">
        <f>IF(J142="","",$B142*'AEO 2018_Table 13'!K$36/'AEO 2018_Table 13'!$C$36)</f>
        <v/>
      </c>
      <c r="L142" s="221" t="str">
        <f>IF(K142="","",$B142*'AEO 2018_Table 13'!L$36/'AEO 2018_Table 13'!$C$36)</f>
        <v/>
      </c>
      <c r="M142" s="221" t="str">
        <f>IF(L142="","",$B142*'AEO 2018_Table 13'!M$36/'AEO 2018_Table 13'!$C$36)</f>
        <v/>
      </c>
      <c r="N142" s="221" t="str">
        <f>IF(M142="","",$B142*'AEO 2018_Table 13'!N$36/'AEO 2018_Table 13'!$C$36)</f>
        <v/>
      </c>
      <c r="O142" s="221" t="str">
        <f>IF(N142="","",$B142*'AEO 2018_Table 13'!O$36/'AEO 2018_Table 13'!$C$36)</f>
        <v/>
      </c>
      <c r="P142" s="221" t="str">
        <f>IF(O142="","",$B142*'AEO 2018_Table 13'!P$36/'AEO 2018_Table 13'!$C$36)</f>
        <v/>
      </c>
      <c r="Q142" s="221" t="str">
        <f>IF(P142="","",$B142*'AEO 2018_Table 13'!Q$36/'AEO 2018_Table 13'!$C$36)</f>
        <v/>
      </c>
      <c r="R142" s="221" t="str">
        <f>IF(Q142="","",$B142*'AEO 2018_Table 13'!R$36/'AEO 2018_Table 13'!$C$36)</f>
        <v/>
      </c>
      <c r="S142" s="221" t="str">
        <f>IF(R142="","",$B142*'AEO 2018_Table 13'!S$36/'AEO 2018_Table 13'!$C$36)</f>
        <v/>
      </c>
      <c r="T142" s="221" t="str">
        <f>IF(S142="","",$B142*'AEO 2018_Table 13'!T$36/'AEO 2018_Table 13'!$C$36)</f>
        <v/>
      </c>
      <c r="U142" s="221" t="str">
        <f>IF(T142="","",$B142*'AEO 2018_Table 13'!U$36/'AEO 2018_Table 13'!$C$36)</f>
        <v/>
      </c>
      <c r="V142" s="221" t="str">
        <f>IF(U142="","",$B142*'AEO 2018_Table 13'!V$36/'AEO 2018_Table 13'!$C$36)</f>
        <v/>
      </c>
      <c r="W142" s="221" t="str">
        <f>IF(V142="","",$B142*'AEO 2018_Table 13'!W$36/'AEO 2018_Table 13'!$C$36)</f>
        <v/>
      </c>
      <c r="X142" s="221" t="str">
        <f>IF(W142="","",$B142*'AEO 2018_Table 13'!X$36/'AEO 2018_Table 13'!$C$36)</f>
        <v/>
      </c>
      <c r="Y142" s="221" t="str">
        <f>IF(X142="","",$B142*'AEO 2018_Table 13'!Y$36/'AEO 2018_Table 13'!$C$36)</f>
        <v/>
      </c>
      <c r="Z142" s="221" t="str">
        <f>IF(Y142="","",$B142*'AEO 2018_Table 13'!Z$36/'AEO 2018_Table 13'!$C$36)</f>
        <v/>
      </c>
      <c r="AA142" s="221" t="str">
        <f>IF(Z142="","",$B142*'AEO 2018_Table 13'!AA$36/'AEO 2018_Table 13'!$C$36)</f>
        <v/>
      </c>
      <c r="AB142" s="221" t="str">
        <f>IF(AA142="","",$B142*'AEO 2018_Table 13'!AB$36/'AEO 2018_Table 13'!$C$36)</f>
        <v/>
      </c>
      <c r="AC142" s="221" t="str">
        <f>IF(AB142="","",$B142*'AEO 2018_Table 13'!AC$36/'AEO 2018_Table 13'!$C$36)</f>
        <v/>
      </c>
      <c r="AD142" s="221" t="str">
        <f>IF(AC142="","",$B142*'AEO 2018_Table 13'!AD$36/'AEO 2018_Table 13'!$C$36)</f>
        <v/>
      </c>
      <c r="AE142" s="221" t="str">
        <f>IF(AD142="","",$B142*'AEO 2018_Table 13'!AE$36/'AEO 2018_Table 13'!$C$36)</f>
        <v/>
      </c>
      <c r="AF142" s="221" t="str">
        <f>IF(AE142="","",$B142*'AEO 2018_Table 13'!AF$36/'AEO 2018_Table 13'!$C$36)</f>
        <v/>
      </c>
      <c r="AG142" s="221" t="str">
        <f>IF(AF142="","",$B142*'AEO 2018_Table 13'!AG$36/'AEO 2018_Table 13'!$C$36)</f>
        <v/>
      </c>
      <c r="AH142" s="221" t="str">
        <f>IF(AG142="","",$B142*'AEO 2018_Table 13'!AH$36/'AEO 2018_Table 13'!$C$36)</f>
        <v/>
      </c>
      <c r="AI142" s="221" t="str">
        <f>IF(AH142="","",$B142*'AEO 2018_Table 13'!AI$36/'AEO 2018_Table 13'!$C$36)</f>
        <v/>
      </c>
      <c r="AJ142" s="221" t="str">
        <f>IF(AI142="","",$B142*'AEO 2018_Table 13'!AJ$36/'AEO 2018_Table 13'!$C$36)</f>
        <v/>
      </c>
      <c r="AK142" s="221" t="str">
        <f>IF(AJ142="","",$B142*'AEO 2018_Table 13'!AK$36/'AEO 2018_Table 13'!$C$36)</f>
        <v/>
      </c>
    </row>
    <row r="143" spans="1:37" x14ac:dyDescent="0.25">
      <c r="A143" s="213" t="s">
        <v>1276</v>
      </c>
      <c r="B143" s="193">
        <v>10.622754086418</v>
      </c>
      <c r="C143" s="193">
        <f>IF(B143="","",$B143*'AEO 2018_Table 13'!C$36/'AEO 2018_Table 13'!$C$36)</f>
        <v>10.622754086418</v>
      </c>
      <c r="D143" s="193">
        <f>IF(C143="","",$B143*'AEO 2018_Table 13'!D$36/'AEO 2018_Table 13'!$C$36)</f>
        <v>9.5913622247815695</v>
      </c>
      <c r="E143" s="193">
        <f>IF(D143="","",$B143*'AEO 2018_Table 13'!E$36/'AEO 2018_Table 13'!$C$36)</f>
        <v>10.045954517227205</v>
      </c>
      <c r="F143" s="193">
        <f>IF(E143="","",$B143*'AEO 2018_Table 13'!F$36/'AEO 2018_Table 13'!$C$36)</f>
        <v>10.293154332594687</v>
      </c>
      <c r="G143" s="193">
        <f>IF(F143="","",$B143*'AEO 2018_Table 13'!G$36/'AEO 2018_Table 13'!$C$36)</f>
        <v>10.327625860209233</v>
      </c>
      <c r="H143" s="193">
        <f>IF(G143="","",$B143*'AEO 2018_Table 13'!H$36/'AEO 2018_Table 13'!$C$36)</f>
        <v>10.275519556552204</v>
      </c>
      <c r="I143" s="193">
        <f>IF(H143="","",$B143*'AEO 2018_Table 13'!I$36/'AEO 2018_Table 13'!$C$36)</f>
        <v>10.365179952935019</v>
      </c>
      <c r="J143" s="193">
        <f>IF(I143="","",$B143*'AEO 2018_Table 13'!J$36/'AEO 2018_Table 13'!$C$36)</f>
        <v>10.452352390674749</v>
      </c>
      <c r="K143" s="193">
        <f>IF(J143="","",$B143*'AEO 2018_Table 13'!K$36/'AEO 2018_Table 13'!$C$36)</f>
        <v>10.528712379217179</v>
      </c>
      <c r="L143" s="193">
        <f>IF(K143="","",$B143*'AEO 2018_Table 13'!L$36/'AEO 2018_Table 13'!$C$36)</f>
        <v>10.586091903394452</v>
      </c>
      <c r="M143" s="193">
        <f>IF(L143="","",$B143*'AEO 2018_Table 13'!M$36/'AEO 2018_Table 13'!$C$36)</f>
        <v>10.539603066107658</v>
      </c>
      <c r="N143" s="193">
        <f>IF(M143="","",$B143*'AEO 2018_Table 13'!N$36/'AEO 2018_Table 13'!$C$36)</f>
        <v>10.585559887080837</v>
      </c>
      <c r="O143" s="193">
        <f>IF(N143="","",$B143*'AEO 2018_Table 13'!O$36/'AEO 2018_Table 13'!$C$36)</f>
        <v>10.625351577831534</v>
      </c>
      <c r="P143" s="193">
        <f>IF(O143="","",$B143*'AEO 2018_Table 13'!P$36/'AEO 2018_Table 13'!$C$36)</f>
        <v>10.647680615464742</v>
      </c>
      <c r="Q143" s="193">
        <f>IF(P143="","",$B143*'AEO 2018_Table 13'!Q$36/'AEO 2018_Table 13'!$C$36)</f>
        <v>10.620798144088534</v>
      </c>
      <c r="R143" s="193">
        <f>IF(Q143="","",$B143*'AEO 2018_Table 13'!R$36/'AEO 2018_Table 13'!$C$36)</f>
        <v>10.62691633169511</v>
      </c>
      <c r="S143" s="193">
        <f>IF(R143="","",$B143*'AEO 2018_Table 13'!S$36/'AEO 2018_Table 13'!$C$36)</f>
        <v>10.652531352441823</v>
      </c>
      <c r="T143" s="193">
        <f>IF(S143="","",$B143*'AEO 2018_Table 13'!T$36/'AEO 2018_Table 13'!$C$36)</f>
        <v>10.645834205905723</v>
      </c>
      <c r="U143" s="193">
        <f>IF(T143="","",$B143*'AEO 2018_Table 13'!U$36/'AEO 2018_Table 13'!$C$36)</f>
        <v>10.67102674310927</v>
      </c>
      <c r="V143" s="193">
        <f>IF(U143="","",$B143*'AEO 2018_Table 13'!V$36/'AEO 2018_Table 13'!$C$36)</f>
        <v>10.699035837267253</v>
      </c>
      <c r="W143" s="193">
        <f>IF(V143="","",$B143*'AEO 2018_Table 13'!W$36/'AEO 2018_Table 13'!$C$36)</f>
        <v>10.754459419115058</v>
      </c>
      <c r="X143" s="193">
        <f>IF(W143="","",$B143*'AEO 2018_Table 13'!X$36/'AEO 2018_Table 13'!$C$36)</f>
        <v>10.781294947875359</v>
      </c>
      <c r="Y143" s="193">
        <f>IF(X143="","",$B143*'AEO 2018_Table 13'!Y$36/'AEO 2018_Table 13'!$C$36)</f>
        <v>10.805392157374406</v>
      </c>
      <c r="Z143" s="193">
        <f>IF(Y143="","",$B143*'AEO 2018_Table 13'!Z$36/'AEO 2018_Table 13'!$C$36)</f>
        <v>10.832431104136971</v>
      </c>
      <c r="AA143" s="193">
        <f>IF(Z143="","",$B143*'AEO 2018_Table 13'!AA$36/'AEO 2018_Table 13'!$C$36)</f>
        <v>10.835325898784586</v>
      </c>
      <c r="AB143" s="193">
        <f>IF(AA143="","",$B143*'AEO 2018_Table 13'!AB$36/'AEO 2018_Table 13'!$C$36)</f>
        <v>10.858562493658663</v>
      </c>
      <c r="AC143" s="193">
        <f>IF(AB143="","",$B143*'AEO 2018_Table 13'!AC$36/'AEO 2018_Table 13'!$C$36)</f>
        <v>10.921872434978884</v>
      </c>
      <c r="AD143" s="193">
        <f>IF(AC143="","",$B143*'AEO 2018_Table 13'!AD$36/'AEO 2018_Table 13'!$C$36)</f>
        <v>10.983257729046908</v>
      </c>
      <c r="AE143" s="193">
        <f>IF(AD143="","",$B143*'AEO 2018_Table 13'!AE$36/'AEO 2018_Table 13'!$C$36)</f>
        <v>11.007339291007318</v>
      </c>
      <c r="AF143" s="193">
        <f>IF(AE143="","",$B143*'AEO 2018_Table 13'!AF$36/'AEO 2018_Table 13'!$C$36)</f>
        <v>11.060400094521126</v>
      </c>
      <c r="AG143" s="193">
        <f>IF(AF143="","",$B143*'AEO 2018_Table 13'!AG$36/'AEO 2018_Table 13'!$C$36)</f>
        <v>11.106951521962465</v>
      </c>
      <c r="AH143" s="193">
        <f>IF(AG143="","",$B143*'AEO 2018_Table 13'!AH$36/'AEO 2018_Table 13'!$C$36)</f>
        <v>11.125008781548113</v>
      </c>
      <c r="AI143" s="193">
        <f>IF(AH143="","",$B143*'AEO 2018_Table 13'!AI$36/'AEO 2018_Table 13'!$C$36)</f>
        <v>11.176786486893791</v>
      </c>
      <c r="AJ143" s="193">
        <f>IF(AI143="","",$B143*'AEO 2018_Table 13'!AJ$36/'AEO 2018_Table 13'!$C$36)</f>
        <v>11.218596710128498</v>
      </c>
      <c r="AK143" s="193">
        <f>IF(AJ143="","",$B143*'AEO 2018_Table 13'!AK$36/'AEO 2018_Table 13'!$C$36)</f>
        <v>11.284723208403152</v>
      </c>
    </row>
    <row r="144" spans="1:37" x14ac:dyDescent="0.25">
      <c r="A144" s="212" t="s">
        <v>1277</v>
      </c>
      <c r="B144" s="196">
        <v>40.146508983780009</v>
      </c>
      <c r="C144" s="196">
        <f>IF(B144="","",$B144*'AEO 2018_Table 13'!C$36/'AEO 2018_Table 13'!$C$36)</f>
        <v>40.146508983780009</v>
      </c>
      <c r="D144" s="196">
        <f>IF(C144="","",$B144*'AEO 2018_Table 13'!D$36/'AEO 2018_Table 13'!$C$36)</f>
        <v>36.248576084069349</v>
      </c>
      <c r="E144" s="196">
        <f>IF(D144="","",$B144*'AEO 2018_Table 13'!E$36/'AEO 2018_Table 13'!$C$36)</f>
        <v>37.966613930390224</v>
      </c>
      <c r="F144" s="196">
        <f>IF(E144="","",$B144*'AEO 2018_Table 13'!F$36/'AEO 2018_Table 13'!$C$36)</f>
        <v>38.900854667557276</v>
      </c>
      <c r="G144" s="196">
        <f>IF(F144="","",$B144*'AEO 2018_Table 13'!G$36/'AEO 2018_Table 13'!$C$36)</f>
        <v>39.031132699205529</v>
      </c>
      <c r="H144" s="196">
        <f>IF(G144="","",$B144*'AEO 2018_Table 13'!H$36/'AEO 2018_Table 13'!$C$36)</f>
        <v>38.834207667254248</v>
      </c>
      <c r="I144" s="196">
        <f>IF(H144="","",$B144*'AEO 2018_Table 13'!I$36/'AEO 2018_Table 13'!$C$36)</f>
        <v>39.173060650161403</v>
      </c>
      <c r="J144" s="196">
        <f>IF(I144="","",$B144*'AEO 2018_Table 13'!J$36/'AEO 2018_Table 13'!$C$36)</f>
        <v>39.502510906317724</v>
      </c>
      <c r="K144" s="196">
        <f>IF(J144="","",$B144*'AEO 2018_Table 13'!K$36/'AEO 2018_Table 13'!$C$36)</f>
        <v>39.791097739928006</v>
      </c>
      <c r="L144" s="196">
        <f>IF(K144="","",$B144*'AEO 2018_Table 13'!L$36/'AEO 2018_Table 13'!$C$36)</f>
        <v>40.007951821659333</v>
      </c>
      <c r="M144" s="196">
        <f>IF(L144="","",$B144*'AEO 2018_Table 13'!M$36/'AEO 2018_Table 13'!$C$36)</f>
        <v>39.83225684570521</v>
      </c>
      <c r="N144" s="196">
        <f>IF(M144="","",$B144*'AEO 2018_Table 13'!N$36/'AEO 2018_Table 13'!$C$36)</f>
        <v>40.005941175687461</v>
      </c>
      <c r="O144" s="196">
        <f>IF(N144="","",$B144*'AEO 2018_Table 13'!O$36/'AEO 2018_Table 13'!$C$36)</f>
        <v>40.15632566705446</v>
      </c>
      <c r="P144" s="196">
        <f>IF(O144="","",$B144*'AEO 2018_Table 13'!P$36/'AEO 2018_Table 13'!$C$36)</f>
        <v>40.240713661226977</v>
      </c>
      <c r="Q144" s="196">
        <f>IF(P144="","",$B144*'AEO 2018_Table 13'!Q$36/'AEO 2018_Table 13'!$C$36)</f>
        <v>40.13911690300106</v>
      </c>
      <c r="R144" s="196">
        <f>IF(Q144="","",$B144*'AEO 2018_Table 13'!R$36/'AEO 2018_Table 13'!$C$36)</f>
        <v>40.162239331677625</v>
      </c>
      <c r="S144" s="196">
        <f>IF(R144="","",$B144*'AEO 2018_Table 13'!S$36/'AEO 2018_Table 13'!$C$36)</f>
        <v>40.259046021558781</v>
      </c>
      <c r="T144" s="196">
        <f>IF(S144="","",$B144*'AEO 2018_Table 13'!T$36/'AEO 2018_Table 13'!$C$36)</f>
        <v>40.233735536971643</v>
      </c>
      <c r="U144" s="196">
        <f>IF(T144="","",$B144*'AEO 2018_Table 13'!U$36/'AEO 2018_Table 13'!$C$36)</f>
        <v>40.328945537404543</v>
      </c>
      <c r="V144" s="196">
        <f>IF(U144="","",$B144*'AEO 2018_Table 13'!V$36/'AEO 2018_Table 13'!$C$36)</f>
        <v>40.43480013415914</v>
      </c>
      <c r="W144" s="196">
        <f>IF(V144="","",$B144*'AEO 2018_Table 13'!W$36/'AEO 2018_Table 13'!$C$36)</f>
        <v>40.644262135111511</v>
      </c>
      <c r="X144" s="196">
        <f>IF(W144="","",$B144*'AEO 2018_Table 13'!X$36/'AEO 2018_Table 13'!$C$36)</f>
        <v>40.745681483398734</v>
      </c>
      <c r="Y144" s="196">
        <f>IF(X144="","",$B144*'AEO 2018_Table 13'!Y$36/'AEO 2018_Table 13'!$C$36)</f>
        <v>40.836751918595418</v>
      </c>
      <c r="Z144" s="196">
        <f>IF(Y144="","",$B144*'AEO 2018_Table 13'!Z$36/'AEO 2018_Table 13'!$C$36)</f>
        <v>40.938940043283651</v>
      </c>
      <c r="AA144" s="196">
        <f>IF(Z144="","",$B144*'AEO 2018_Table 13'!AA$36/'AEO 2018_Table 13'!$C$36)</f>
        <v>40.949880322836506</v>
      </c>
      <c r="AB144" s="196">
        <f>IF(AA144="","",$B144*'AEO 2018_Table 13'!AB$36/'AEO 2018_Table 13'!$C$36)</f>
        <v>41.037698242490443</v>
      </c>
      <c r="AC144" s="196">
        <f>IF(AB144="","",$B144*'AEO 2018_Table 13'!AC$36/'AEO 2018_Table 13'!$C$36)</f>
        <v>41.276965113143561</v>
      </c>
      <c r="AD144" s="196">
        <f>IF(AC144="","",$B144*'AEO 2018_Table 13'!AD$36/'AEO 2018_Table 13'!$C$36)</f>
        <v>41.508958176310188</v>
      </c>
      <c r="AE144" s="196">
        <f>IF(AD144="","",$B144*'AEO 2018_Table 13'!AE$36/'AEO 2018_Table 13'!$C$36)</f>
        <v>41.599969474860643</v>
      </c>
      <c r="AF144" s="196">
        <f>IF(AE144="","",$B144*'AEO 2018_Table 13'!AF$36/'AEO 2018_Table 13'!$C$36)</f>
        <v>41.800501842232052</v>
      </c>
      <c r="AG144" s="196">
        <f>IF(AF144="","",$B144*'AEO 2018_Table 13'!AG$36/'AEO 2018_Table 13'!$C$36)</f>
        <v>41.976433364771104</v>
      </c>
      <c r="AH144" s="196">
        <f>IF(AG144="","",$B144*'AEO 2018_Table 13'!AH$36/'AEO 2018_Table 13'!$C$36)</f>
        <v>42.044677054522388</v>
      </c>
      <c r="AI144" s="196">
        <f>IF(AH144="","",$B144*'AEO 2018_Table 13'!AI$36/'AEO 2018_Table 13'!$C$36)</f>
        <v>42.240360216902808</v>
      </c>
      <c r="AJ144" s="196">
        <f>IF(AI144="","",$B144*'AEO 2018_Table 13'!AJ$36/'AEO 2018_Table 13'!$C$36)</f>
        <v>42.398373335633678</v>
      </c>
      <c r="AK144" s="196">
        <f>IF(AJ144="","",$B144*'AEO 2018_Table 13'!AK$36/'AEO 2018_Table 13'!$C$36)</f>
        <v>42.64828480260848</v>
      </c>
    </row>
    <row r="145" spans="1:37" x14ac:dyDescent="0.25">
      <c r="A145" s="206" t="s">
        <v>1278</v>
      </c>
      <c r="B145" s="195">
        <v>13.765954749435002</v>
      </c>
      <c r="C145" s="195">
        <f>IF(B145="","",$B145*'AEO 2018_Table 13'!C$36/'AEO 2018_Table 13'!$C$36)</f>
        <v>13.765954749435004</v>
      </c>
      <c r="D145" s="195">
        <f>IF(C145="","",$B145*'AEO 2018_Table 13'!D$36/'AEO 2018_Table 13'!$C$36)</f>
        <v>12.429381052941736</v>
      </c>
      <c r="E145" s="195">
        <f>IF(D145="","",$B145*'AEO 2018_Table 13'!E$36/'AEO 2018_Table 13'!$C$36)</f>
        <v>13.018484111935612</v>
      </c>
      <c r="F145" s="195">
        <f>IF(E145="","",$B145*'AEO 2018_Table 13'!F$36/'AEO 2018_Table 13'!$C$36)</f>
        <v>13.338828670863922</v>
      </c>
      <c r="G145" s="195">
        <f>IF(F145="","",$B145*'AEO 2018_Table 13'!G$36/'AEO 2018_Table 13'!$C$36)</f>
        <v>13.383500088975017</v>
      </c>
      <c r="H145" s="195">
        <f>IF(G145="","",$B145*'AEO 2018_Table 13'!H$36/'AEO 2018_Table 13'!$C$36)</f>
        <v>13.315975884567417</v>
      </c>
      <c r="I145" s="195">
        <f>IF(H145="","",$B145*'AEO 2018_Table 13'!I$36/'AEO 2018_Table 13'!$C$36)</f>
        <v>13.432166182241758</v>
      </c>
      <c r="J145" s="195">
        <f>IF(I145="","",$B145*'AEO 2018_Table 13'!J$36/'AEO 2018_Table 13'!$C$36)</f>
        <v>13.545132351237175</v>
      </c>
      <c r="K145" s="195">
        <f>IF(J145="","",$B145*'AEO 2018_Table 13'!K$36/'AEO 2018_Table 13'!$C$36)</f>
        <v>13.644086740879544</v>
      </c>
      <c r="L145" s="195">
        <f>IF(K145="","",$B145*'AEO 2018_Table 13'!L$36/'AEO 2018_Table 13'!$C$36)</f>
        <v>13.718444475883349</v>
      </c>
      <c r="M145" s="195">
        <f>IF(L145="","",$B145*'AEO 2018_Table 13'!M$36/'AEO 2018_Table 13'!$C$36)</f>
        <v>13.658199907926898</v>
      </c>
      <c r="N145" s="195">
        <f>IF(M145="","",$B145*'AEO 2018_Table 13'!N$36/'AEO 2018_Table 13'!$C$36)</f>
        <v>13.71775503956207</v>
      </c>
      <c r="O145" s="195">
        <f>IF(N145="","",$B145*'AEO 2018_Table 13'!O$36/'AEO 2018_Table 13'!$C$36)</f>
        <v>13.769320820885952</v>
      </c>
      <c r="P145" s="195">
        <f>IF(O145="","",$B145*'AEO 2018_Table 13'!P$36/'AEO 2018_Table 13'!$C$36)</f>
        <v>13.7982568688408</v>
      </c>
      <c r="Q145" s="195">
        <f>IF(P145="","",$B145*'AEO 2018_Table 13'!Q$36/'AEO 2018_Table 13'!$C$36)</f>
        <v>13.763420057077361</v>
      </c>
      <c r="R145" s="195">
        <f>IF(Q145="","",$B145*'AEO 2018_Table 13'!R$36/'AEO 2018_Table 13'!$C$36)</f>
        <v>13.771348574772068</v>
      </c>
      <c r="S145" s="195">
        <f>IF(R145="","",$B145*'AEO 2018_Table 13'!S$36/'AEO 2018_Table 13'!$C$36)</f>
        <v>13.804542905887757</v>
      </c>
      <c r="T145" s="195">
        <f>IF(S145="","",$B145*'AEO 2018_Table 13'!T$36/'AEO 2018_Table 13'!$C$36)</f>
        <v>13.795864119255185</v>
      </c>
      <c r="U145" s="195">
        <f>IF(T145="","",$B145*'AEO 2018_Table 13'!U$36/'AEO 2018_Table 13'!$C$36)</f>
        <v>13.828510956821622</v>
      </c>
      <c r="V145" s="195">
        <f>IF(U145="","",$B145*'AEO 2018_Table 13'!V$36/'AEO 2018_Table 13'!$C$36)</f>
        <v>13.864807751383069</v>
      </c>
      <c r="W145" s="195">
        <f>IF(V145="","",$B145*'AEO 2018_Table 13'!W$36/'AEO 2018_Table 13'!$C$36)</f>
        <v>13.936630794029229</v>
      </c>
      <c r="X145" s="195">
        <f>IF(W145="","",$B145*'AEO 2018_Table 13'!X$36/'AEO 2018_Table 13'!$C$36)</f>
        <v>13.971406773176085</v>
      </c>
      <c r="Y145" s="195">
        <f>IF(X145="","",$B145*'AEO 2018_Table 13'!Y$36/'AEO 2018_Table 13'!$C$36)</f>
        <v>14.002634183022245</v>
      </c>
      <c r="Z145" s="195">
        <f>IF(Y145="","",$B145*'AEO 2018_Table 13'!Z$36/'AEO 2018_Table 13'!$C$36)</f>
        <v>14.037673770174296</v>
      </c>
      <c r="AA145" s="195">
        <f>IF(Z145="","",$B145*'AEO 2018_Table 13'!AA$36/'AEO 2018_Table 13'!$C$36)</f>
        <v>14.041425114863607</v>
      </c>
      <c r="AB145" s="195">
        <f>IF(AA145="","",$B145*'AEO 2018_Table 13'!AB$36/'AEO 2018_Table 13'!$C$36)</f>
        <v>14.0715372600724</v>
      </c>
      <c r="AC145" s="195">
        <f>IF(AB145="","",$B145*'AEO 2018_Table 13'!AC$36/'AEO 2018_Table 13'!$C$36)</f>
        <v>14.153580182304578</v>
      </c>
      <c r="AD145" s="195">
        <f>IF(AC145="","",$B145*'AEO 2018_Table 13'!AD$36/'AEO 2018_Table 13'!$C$36)</f>
        <v>14.233128967256835</v>
      </c>
      <c r="AE145" s="195">
        <f>IF(AD145="","",$B145*'AEO 2018_Table 13'!AE$36/'AEO 2018_Table 13'!$C$36)</f>
        <v>14.264336099564135</v>
      </c>
      <c r="AF145" s="195">
        <f>IF(AE145="","",$B145*'AEO 2018_Table 13'!AF$36/'AEO 2018_Table 13'!$C$36)</f>
        <v>14.333097233842262</v>
      </c>
      <c r="AG145" s="195">
        <f>IF(AF145="","",$B145*'AEO 2018_Table 13'!AG$36/'AEO 2018_Table 13'!$C$36)</f>
        <v>14.393422911954159</v>
      </c>
      <c r="AH145" s="195">
        <f>IF(AG145="","",$B145*'AEO 2018_Table 13'!AH$36/'AEO 2018_Table 13'!$C$36)</f>
        <v>14.416823191799915</v>
      </c>
      <c r="AI145" s="195">
        <f>IF(AH145="","",$B145*'AEO 2018_Table 13'!AI$36/'AEO 2018_Table 13'!$C$36)</f>
        <v>14.483921567891432</v>
      </c>
      <c r="AJ145" s="195">
        <f>IF(AI145="","",$B145*'AEO 2018_Table 13'!AJ$36/'AEO 2018_Table 13'!$C$36)</f>
        <v>14.538103151728402</v>
      </c>
      <c r="AK145" s="195">
        <f>IF(AJ145="","",$B145*'AEO 2018_Table 13'!AK$36/'AEO 2018_Table 13'!$C$36)</f>
        <v>14.623796030955585</v>
      </c>
    </row>
    <row r="146" spans="1:37" x14ac:dyDescent="0.25">
      <c r="A146" s="207" t="s">
        <v>1279</v>
      </c>
      <c r="B146" s="191"/>
      <c r="C146" s="191" t="str">
        <f>IF(B146="","",$B146*'AEO 2018_Table 13'!C$36/'AEO 2018_Table 13'!$C$36)</f>
        <v/>
      </c>
      <c r="D146" s="191" t="str">
        <f>IF(C146="","",$B146*'AEO 2018_Table 13'!D$36/'AEO 2018_Table 13'!$C$36)</f>
        <v/>
      </c>
      <c r="E146" s="191" t="str">
        <f>IF(D146="","",$B146*'AEO 2018_Table 13'!E$36/'AEO 2018_Table 13'!$C$36)</f>
        <v/>
      </c>
      <c r="F146" s="191" t="str">
        <f>IF(E146="","",$B146*'AEO 2018_Table 13'!F$36/'AEO 2018_Table 13'!$C$36)</f>
        <v/>
      </c>
      <c r="G146" s="191" t="str">
        <f>IF(F146="","",$B146*'AEO 2018_Table 13'!G$36/'AEO 2018_Table 13'!$C$36)</f>
        <v/>
      </c>
      <c r="H146" s="191" t="str">
        <f>IF(G146="","",$B146*'AEO 2018_Table 13'!H$36/'AEO 2018_Table 13'!$C$36)</f>
        <v/>
      </c>
      <c r="I146" s="191" t="str">
        <f>IF(H146="","",$B146*'AEO 2018_Table 13'!I$36/'AEO 2018_Table 13'!$C$36)</f>
        <v/>
      </c>
      <c r="J146" s="191" t="str">
        <f>IF(I146="","",$B146*'AEO 2018_Table 13'!J$36/'AEO 2018_Table 13'!$C$36)</f>
        <v/>
      </c>
      <c r="K146" s="191" t="str">
        <f>IF(J146="","",$B146*'AEO 2018_Table 13'!K$36/'AEO 2018_Table 13'!$C$36)</f>
        <v/>
      </c>
      <c r="L146" s="191" t="str">
        <f>IF(K146="","",$B146*'AEO 2018_Table 13'!L$36/'AEO 2018_Table 13'!$C$36)</f>
        <v/>
      </c>
      <c r="M146" s="191" t="str">
        <f>IF(L146="","",$B146*'AEO 2018_Table 13'!M$36/'AEO 2018_Table 13'!$C$36)</f>
        <v/>
      </c>
      <c r="N146" s="191" t="str">
        <f>IF(M146="","",$B146*'AEO 2018_Table 13'!N$36/'AEO 2018_Table 13'!$C$36)</f>
        <v/>
      </c>
      <c r="O146" s="191" t="str">
        <f>IF(N146="","",$B146*'AEO 2018_Table 13'!O$36/'AEO 2018_Table 13'!$C$36)</f>
        <v/>
      </c>
      <c r="P146" s="191" t="str">
        <f>IF(O146="","",$B146*'AEO 2018_Table 13'!P$36/'AEO 2018_Table 13'!$C$36)</f>
        <v/>
      </c>
      <c r="Q146" s="191" t="str">
        <f>IF(P146="","",$B146*'AEO 2018_Table 13'!Q$36/'AEO 2018_Table 13'!$C$36)</f>
        <v/>
      </c>
      <c r="R146" s="191" t="str">
        <f>IF(Q146="","",$B146*'AEO 2018_Table 13'!R$36/'AEO 2018_Table 13'!$C$36)</f>
        <v/>
      </c>
      <c r="S146" s="191" t="str">
        <f>IF(R146="","",$B146*'AEO 2018_Table 13'!S$36/'AEO 2018_Table 13'!$C$36)</f>
        <v/>
      </c>
      <c r="T146" s="191" t="str">
        <f>IF(S146="","",$B146*'AEO 2018_Table 13'!T$36/'AEO 2018_Table 13'!$C$36)</f>
        <v/>
      </c>
      <c r="U146" s="191" t="str">
        <f>IF(T146="","",$B146*'AEO 2018_Table 13'!U$36/'AEO 2018_Table 13'!$C$36)</f>
        <v/>
      </c>
      <c r="V146" s="191" t="str">
        <f>IF(U146="","",$B146*'AEO 2018_Table 13'!V$36/'AEO 2018_Table 13'!$C$36)</f>
        <v/>
      </c>
      <c r="W146" s="191" t="str">
        <f>IF(V146="","",$B146*'AEO 2018_Table 13'!W$36/'AEO 2018_Table 13'!$C$36)</f>
        <v/>
      </c>
      <c r="X146" s="191" t="str">
        <f>IF(W146="","",$B146*'AEO 2018_Table 13'!X$36/'AEO 2018_Table 13'!$C$36)</f>
        <v/>
      </c>
      <c r="Y146" s="191" t="str">
        <f>IF(X146="","",$B146*'AEO 2018_Table 13'!Y$36/'AEO 2018_Table 13'!$C$36)</f>
        <v/>
      </c>
      <c r="Z146" s="191" t="str">
        <f>IF(Y146="","",$B146*'AEO 2018_Table 13'!Z$36/'AEO 2018_Table 13'!$C$36)</f>
        <v/>
      </c>
      <c r="AA146" s="191" t="str">
        <f>IF(Z146="","",$B146*'AEO 2018_Table 13'!AA$36/'AEO 2018_Table 13'!$C$36)</f>
        <v/>
      </c>
      <c r="AB146" s="191" t="str">
        <f>IF(AA146="","",$B146*'AEO 2018_Table 13'!AB$36/'AEO 2018_Table 13'!$C$36)</f>
        <v/>
      </c>
      <c r="AC146" s="191" t="str">
        <f>IF(AB146="","",$B146*'AEO 2018_Table 13'!AC$36/'AEO 2018_Table 13'!$C$36)</f>
        <v/>
      </c>
      <c r="AD146" s="191" t="str">
        <f>IF(AC146="","",$B146*'AEO 2018_Table 13'!AD$36/'AEO 2018_Table 13'!$C$36)</f>
        <v/>
      </c>
      <c r="AE146" s="191" t="str">
        <f>IF(AD146="","",$B146*'AEO 2018_Table 13'!AE$36/'AEO 2018_Table 13'!$C$36)</f>
        <v/>
      </c>
      <c r="AF146" s="191" t="str">
        <f>IF(AE146="","",$B146*'AEO 2018_Table 13'!AF$36/'AEO 2018_Table 13'!$C$36)</f>
        <v/>
      </c>
      <c r="AG146" s="191" t="str">
        <f>IF(AF146="","",$B146*'AEO 2018_Table 13'!AG$36/'AEO 2018_Table 13'!$C$36)</f>
        <v/>
      </c>
      <c r="AH146" s="191" t="str">
        <f>IF(AG146="","",$B146*'AEO 2018_Table 13'!AH$36/'AEO 2018_Table 13'!$C$36)</f>
        <v/>
      </c>
      <c r="AI146" s="191" t="str">
        <f>IF(AH146="","",$B146*'AEO 2018_Table 13'!AI$36/'AEO 2018_Table 13'!$C$36)</f>
        <v/>
      </c>
      <c r="AJ146" s="191" t="str">
        <f>IF(AI146="","",$B146*'AEO 2018_Table 13'!AJ$36/'AEO 2018_Table 13'!$C$36)</f>
        <v/>
      </c>
      <c r="AK146" s="191" t="str">
        <f>IF(AJ146="","",$B146*'AEO 2018_Table 13'!AK$36/'AEO 2018_Table 13'!$C$36)</f>
        <v/>
      </c>
    </row>
    <row r="147" spans="1:37" x14ac:dyDescent="0.25">
      <c r="A147" s="213" t="s">
        <v>1280</v>
      </c>
      <c r="B147" s="193">
        <v>2.6777127105258507</v>
      </c>
      <c r="C147" s="193">
        <f>IF(B147="","",$B147*'AEO 2018_Table 13'!C$36/'AEO 2018_Table 13'!$C$36)</f>
        <v>2.6777127105258507</v>
      </c>
      <c r="D147" s="193">
        <f>IF(C147="","",$B147*'AEO 2018_Table 13'!D$36/'AEO 2018_Table 13'!$C$36)</f>
        <v>2.4177263571781884</v>
      </c>
      <c r="E147" s="193">
        <f>IF(D147="","",$B147*'AEO 2018_Table 13'!E$36/'AEO 2018_Table 13'!$C$36)</f>
        <v>2.5323169378963408</v>
      </c>
      <c r="F147" s="193">
        <f>IF(E147="","",$B147*'AEO 2018_Table 13'!F$36/'AEO 2018_Table 13'!$C$36)</f>
        <v>2.5946294118804163</v>
      </c>
      <c r="G147" s="193">
        <f>IF(F147="","",$B147*'AEO 2018_Table 13'!G$36/'AEO 2018_Table 13'!$C$36)</f>
        <v>2.6033187637089341</v>
      </c>
      <c r="H147" s="193">
        <f>IF(G147="","",$B147*'AEO 2018_Table 13'!H$36/'AEO 2018_Table 13'!$C$36)</f>
        <v>2.590184155634053</v>
      </c>
      <c r="I147" s="193">
        <f>IF(H147="","",$B147*'AEO 2018_Table 13'!I$36/'AEO 2018_Table 13'!$C$36)</f>
        <v>2.6127851479070467</v>
      </c>
      <c r="J147" s="193">
        <f>IF(I147="","",$B147*'AEO 2018_Table 13'!J$36/'AEO 2018_Table 13'!$C$36)</f>
        <v>2.634758992226915</v>
      </c>
      <c r="K147" s="193">
        <f>IF(J147="","",$B147*'AEO 2018_Table 13'!K$36/'AEO 2018_Table 13'!$C$36)</f>
        <v>2.6540073067630772</v>
      </c>
      <c r="L147" s="193">
        <f>IF(K147="","",$B147*'AEO 2018_Table 13'!L$36/'AEO 2018_Table 13'!$C$36)</f>
        <v>2.6684711529524434</v>
      </c>
      <c r="M147" s="193">
        <f>IF(L147="","",$B147*'AEO 2018_Table 13'!M$36/'AEO 2018_Table 13'!$C$36)</f>
        <v>2.6567525581805302</v>
      </c>
      <c r="N147" s="193">
        <f>IF(M147="","",$B147*'AEO 2018_Table 13'!N$36/'AEO 2018_Table 13'!$C$36)</f>
        <v>2.66833704584297</v>
      </c>
      <c r="O147" s="193">
        <f>IF(N147="","",$B147*'AEO 2018_Table 13'!O$36/'AEO 2018_Table 13'!$C$36)</f>
        <v>2.6783674687662202</v>
      </c>
      <c r="P147" s="193">
        <f>IF(O147="","",$B147*'AEO 2018_Table 13'!P$36/'AEO 2018_Table 13'!$C$36)</f>
        <v>2.6839960230373481</v>
      </c>
      <c r="Q147" s="193">
        <f>IF(P147="","",$B147*'AEO 2018_Table 13'!Q$36/'AEO 2018_Table 13'!$C$36)</f>
        <v>2.677219669682199</v>
      </c>
      <c r="R147" s="193">
        <f>IF(Q147="","",$B147*'AEO 2018_Table 13'!R$36/'AEO 2018_Table 13'!$C$36)</f>
        <v>2.6787619014411419</v>
      </c>
      <c r="S147" s="193">
        <f>IF(R147="","",$B147*'AEO 2018_Table 13'!S$36/'AEO 2018_Table 13'!$C$36)</f>
        <v>2.6852187643296044</v>
      </c>
      <c r="T147" s="193">
        <f>IF(S147="","",$B147*'AEO 2018_Table 13'!T$36/'AEO 2018_Table 13'!$C$36)</f>
        <v>2.6835305924809409</v>
      </c>
      <c r="U147" s="193">
        <f>IF(T147="","",$B147*'AEO 2018_Table 13'!U$36/'AEO 2018_Table 13'!$C$36)</f>
        <v>2.6898809585471746</v>
      </c>
      <c r="V147" s="193">
        <f>IF(U147="","",$B147*'AEO 2018_Table 13'!V$36/'AEO 2018_Table 13'!$C$36)</f>
        <v>2.6969413034282672</v>
      </c>
      <c r="W147" s="193">
        <f>IF(V147="","",$B147*'AEO 2018_Table 13'!W$36/'AEO 2018_Table 13'!$C$36)</f>
        <v>2.7109121087739814</v>
      </c>
      <c r="X147" s="193">
        <f>IF(W147="","",$B147*'AEO 2018_Table 13'!X$36/'AEO 2018_Table 13'!$C$36)</f>
        <v>2.7176766291488827</v>
      </c>
      <c r="Y147" s="193">
        <f>IF(X147="","",$B147*'AEO 2018_Table 13'!Y$36/'AEO 2018_Table 13'!$C$36)</f>
        <v>2.7237508923426712</v>
      </c>
      <c r="Z147" s="193">
        <f>IF(Y147="","",$B147*'AEO 2018_Table 13'!Z$36/'AEO 2018_Table 13'!$C$36)</f>
        <v>2.7305666889653124</v>
      </c>
      <c r="AA147" s="193">
        <f>IF(Z147="","",$B147*'AEO 2018_Table 13'!AA$36/'AEO 2018_Table 13'!$C$36)</f>
        <v>2.7312963894139171</v>
      </c>
      <c r="AB147" s="193">
        <f>IF(AA147="","",$B147*'AEO 2018_Table 13'!AB$36/'AEO 2018_Table 13'!$C$36)</f>
        <v>2.737153714636499</v>
      </c>
      <c r="AC147" s="193">
        <f>IF(AB147="","",$B147*'AEO 2018_Table 13'!AC$36/'AEO 2018_Table 13'!$C$36)</f>
        <v>2.7531124606638171</v>
      </c>
      <c r="AD147" s="193">
        <f>IF(AC147="","",$B147*'AEO 2018_Table 13'!AD$36/'AEO 2018_Table 13'!$C$36)</f>
        <v>2.7685860545009819</v>
      </c>
      <c r="AE147" s="193">
        <f>IF(AD147="","",$B147*'AEO 2018_Table 13'!AE$36/'AEO 2018_Table 13'!$C$36)</f>
        <v>2.7746563733680216</v>
      </c>
      <c r="AF147" s="193">
        <f>IF(AE147="","",$B147*'AEO 2018_Table 13'!AF$36/'AEO 2018_Table 13'!$C$36)</f>
        <v>2.7880315853746049</v>
      </c>
      <c r="AG147" s="193">
        <f>IF(AF147="","",$B147*'AEO 2018_Table 13'!AG$36/'AEO 2018_Table 13'!$C$36)</f>
        <v>2.799765957453515</v>
      </c>
      <c r="AH147" s="193">
        <f>IF(AG147="","",$B147*'AEO 2018_Table 13'!AH$36/'AEO 2018_Table 13'!$C$36)</f>
        <v>2.804317710522108</v>
      </c>
      <c r="AI147" s="193">
        <f>IF(AH147="","",$B147*'AEO 2018_Table 13'!AI$36/'AEO 2018_Table 13'!$C$36)</f>
        <v>2.8173694877352555</v>
      </c>
      <c r="AJ147" s="193">
        <f>IF(AI147="","",$B147*'AEO 2018_Table 13'!AJ$36/'AEO 2018_Table 13'!$C$36)</f>
        <v>2.8279087288091538</v>
      </c>
      <c r="AK147" s="193">
        <f>IF(AJ147="","",$B147*'AEO 2018_Table 13'!AK$36/'AEO 2018_Table 13'!$C$36)</f>
        <v>2.8445774536513304</v>
      </c>
    </row>
    <row r="148" spans="1:37" x14ac:dyDescent="0.25">
      <c r="A148" s="212" t="s">
        <v>1281</v>
      </c>
      <c r="B148" s="215">
        <v>1.2425071456650465E-2</v>
      </c>
      <c r="C148" s="215">
        <f>IF(B148="","",$B148*'AEO 2018_Table 13'!C$36/'AEO 2018_Table 13'!$C$36)</f>
        <v>1.2425071456650467E-2</v>
      </c>
      <c r="D148" s="215">
        <f>IF(C148="","",$B148*'AEO 2018_Table 13'!D$36/'AEO 2018_Table 13'!$C$36)</f>
        <v>1.1218687737665056E-2</v>
      </c>
      <c r="E148" s="215">
        <f>IF(D148="","",$B148*'AEO 2018_Table 13'!E$36/'AEO 2018_Table 13'!$C$36)</f>
        <v>1.1750408765124534E-2</v>
      </c>
      <c r="F148" s="215">
        <f>IF(E148="","",$B148*'AEO 2018_Table 13'!F$36/'AEO 2018_Table 13'!$C$36)</f>
        <v>1.2039549918635649E-2</v>
      </c>
      <c r="G148" s="215">
        <f>IF(F148="","",$B148*'AEO 2018_Table 13'!G$36/'AEO 2018_Table 13'!$C$36)</f>
        <v>1.207987008328845E-2</v>
      </c>
      <c r="H148" s="215">
        <f>IF(G148="","",$B148*'AEO 2018_Table 13'!H$36/'AEO 2018_Table 13'!$C$36)</f>
        <v>1.2018923125370232E-2</v>
      </c>
      <c r="I148" s="215">
        <f>IF(H148="","",$B148*'AEO 2018_Table 13'!I$36/'AEO 2018_Table 13'!$C$36)</f>
        <v>1.2123795818725004E-2</v>
      </c>
      <c r="J148" s="215">
        <f>IF(I148="","",$B148*'AEO 2018_Table 13'!J$36/'AEO 2018_Table 13'!$C$36)</f>
        <v>1.2225758432107105E-2</v>
      </c>
      <c r="K148" s="215">
        <f>IF(J148="","",$B148*'AEO 2018_Table 13'!K$36/'AEO 2018_Table 13'!$C$36)</f>
        <v>1.2315074094161429E-2</v>
      </c>
      <c r="L148" s="215">
        <f>IF(K148="","",$B148*'AEO 2018_Table 13'!L$36/'AEO 2018_Table 13'!$C$36)</f>
        <v>1.238218895743053E-2</v>
      </c>
      <c r="M148" s="215">
        <f>IF(L148="","",$B148*'AEO 2018_Table 13'!M$36/'AEO 2018_Table 13'!$C$36)</f>
        <v>1.2327812557438032E-2</v>
      </c>
      <c r="N148" s="215">
        <f>IF(M148="","",$B148*'AEO 2018_Table 13'!N$36/'AEO 2018_Table 13'!$C$36)</f>
        <v>1.2381566676178511E-2</v>
      </c>
      <c r="O148" s="215">
        <f>IF(N148="","",$B148*'AEO 2018_Table 13'!O$36/'AEO 2018_Table 13'!$C$36)</f>
        <v>1.2428109653351492E-2</v>
      </c>
      <c r="P148" s="215">
        <f>IF(O148="","",$B148*'AEO 2018_Table 13'!P$36/'AEO 2018_Table 13'!$C$36)</f>
        <v>1.2454227163546478E-2</v>
      </c>
      <c r="Q148" s="215">
        <f>IF(P148="","",$B148*'AEO 2018_Table 13'!Q$36/'AEO 2018_Table 13'!$C$36)</f>
        <v>1.2422783657929811E-2</v>
      </c>
      <c r="R148" s="215">
        <f>IF(Q148="","",$B148*'AEO 2018_Table 13'!R$36/'AEO 2018_Table 13'!$C$36)</f>
        <v>1.242993989232802E-2</v>
      </c>
      <c r="S148" s="215">
        <f>IF(R148="","",$B148*'AEO 2018_Table 13'!S$36/'AEO 2018_Table 13'!$C$36)</f>
        <v>1.2459900904373702E-2</v>
      </c>
      <c r="T148" s="215">
        <f>IF(S148="","",$B148*'AEO 2018_Table 13'!T$36/'AEO 2018_Table 13'!$C$36)</f>
        <v>1.2452067481554179E-2</v>
      </c>
      <c r="U148" s="215">
        <f>IF(T148="","",$B148*'AEO 2018_Table 13'!U$36/'AEO 2018_Table 13'!$C$36)</f>
        <v>1.2481534329076203E-2</v>
      </c>
      <c r="V148" s="215">
        <f>IF(U148="","",$B148*'AEO 2018_Table 13'!V$36/'AEO 2018_Table 13'!$C$36)</f>
        <v>1.2514295606755965E-2</v>
      </c>
      <c r="W148" s="215">
        <f>IF(V148="","",$B148*'AEO 2018_Table 13'!W$36/'AEO 2018_Table 13'!$C$36)</f>
        <v>1.2579122671304411E-2</v>
      </c>
      <c r="X148" s="215">
        <f>IF(W148="","",$B148*'AEO 2018_Table 13'!X$36/'AEO 2018_Table 13'!$C$36)</f>
        <v>1.2610511269751783E-2</v>
      </c>
      <c r="Y148" s="215">
        <f>IF(X148="","",$B148*'AEO 2018_Table 13'!Y$36/'AEO 2018_Table 13'!$C$36)</f>
        <v>1.2638696949990235E-2</v>
      </c>
      <c r="Z148" s="215">
        <f>IF(Y148="","",$B148*'AEO 2018_Table 13'!Z$36/'AEO 2018_Table 13'!$C$36)</f>
        <v>1.2670323479504558E-2</v>
      </c>
      <c r="AA148" s="215">
        <f>IF(Z148="","",$B148*'AEO 2018_Table 13'!AA$36/'AEO 2018_Table 13'!$C$36)</f>
        <v>1.2673709421611125E-2</v>
      </c>
      <c r="AB148" s="215">
        <f>IF(AA148="","",$B148*'AEO 2018_Table 13'!AB$36/'AEO 2018_Table 13'!$C$36)</f>
        <v>1.2700888470412491E-2</v>
      </c>
      <c r="AC148" s="215">
        <f>IF(AB148="","",$B148*'AEO 2018_Table 13'!AC$36/'AEO 2018_Table 13'!$C$36)</f>
        <v>1.2774939939402614E-2</v>
      </c>
      <c r="AD148" s="215">
        <f>IF(AC148="","",$B148*'AEO 2018_Table 13'!AD$36/'AEO 2018_Table 13'!$C$36)</f>
        <v>1.2846740214451613E-2</v>
      </c>
      <c r="AE148" s="215">
        <f>IF(AD148="","",$B148*'AEO 2018_Table 13'!AE$36/'AEO 2018_Table 13'!$C$36)</f>
        <v>1.2874907592300304E-2</v>
      </c>
      <c r="AF148" s="215">
        <f>IF(AE148="","",$B148*'AEO 2018_Table 13'!AF$36/'AEO 2018_Table 13'!$C$36)</f>
        <v>1.2936970995994199E-2</v>
      </c>
      <c r="AG148" s="215">
        <f>IF(AF148="","",$B148*'AEO 2018_Table 13'!AG$36/'AEO 2018_Table 13'!$C$36)</f>
        <v>1.2991420605545763E-2</v>
      </c>
      <c r="AH148" s="215">
        <f>IF(AG148="","",$B148*'AEO 2018_Table 13'!AH$36/'AEO 2018_Table 13'!$C$36)</f>
        <v>1.3012541563334838E-2</v>
      </c>
      <c r="AI148" s="215">
        <f>IF(AH148="","",$B148*'AEO 2018_Table 13'!AI$36/'AEO 2018_Table 13'!$C$36)</f>
        <v>1.3073104171067986E-2</v>
      </c>
      <c r="AJ148" s="215">
        <f>IF(AI148="","",$B148*'AEO 2018_Table 13'!AJ$36/'AEO 2018_Table 13'!$C$36)</f>
        <v>1.3122008156520685E-2</v>
      </c>
      <c r="AK148" s="215">
        <f>IF(AJ148="","",$B148*'AEO 2018_Table 13'!AK$36/'AEO 2018_Table 13'!$C$36)</f>
        <v>1.3199354055668548E-2</v>
      </c>
    </row>
    <row r="149" spans="1:37" x14ac:dyDescent="0.25">
      <c r="A149" s="206" t="s">
        <v>1282</v>
      </c>
      <c r="B149" s="195">
        <v>5.8986319284000004</v>
      </c>
      <c r="C149" s="195">
        <f>IF(B149="","",$B149*'AEO 2018_Table 13'!C$36/'AEO 2018_Table 13'!$C$36)</f>
        <v>5.8986319284000004</v>
      </c>
      <c r="D149" s="195">
        <f>IF(C149="","",$B149*'AEO 2018_Table 13'!D$36/'AEO 2018_Table 13'!$C$36)</f>
        <v>5.3259178359671191</v>
      </c>
      <c r="E149" s="195">
        <f>IF(D149="","",$B149*'AEO 2018_Table 13'!E$36/'AEO 2018_Table 13'!$C$36)</f>
        <v>5.578345086829759</v>
      </c>
      <c r="F149" s="195">
        <f>IF(E149="","",$B149*'AEO 2018_Table 13'!F$36/'AEO 2018_Table 13'!$C$36)</f>
        <v>5.7156108760741482</v>
      </c>
      <c r="G149" s="195">
        <f>IF(F149="","",$B149*'AEO 2018_Table 13'!G$36/'AEO 2018_Table 13'!$C$36)</f>
        <v>5.7347523201623494</v>
      </c>
      <c r="H149" s="195">
        <f>IF(G149="","",$B149*'AEO 2018_Table 13'!H$36/'AEO 2018_Table 13'!$C$36)</f>
        <v>5.7058185894253048</v>
      </c>
      <c r="I149" s="195">
        <f>IF(H149="","",$B149*'AEO 2018_Table 13'!I$36/'AEO 2018_Table 13'!$C$36)</f>
        <v>5.7556054594322905</v>
      </c>
      <c r="J149" s="195">
        <f>IF(I149="","",$B149*'AEO 2018_Table 13'!J$36/'AEO 2018_Table 13'!$C$36)</f>
        <v>5.8040108089626417</v>
      </c>
      <c r="K149" s="195">
        <f>IF(J149="","",$B149*'AEO 2018_Table 13'!K$36/'AEO 2018_Table 13'!$C$36)</f>
        <v>5.8464121921448564</v>
      </c>
      <c r="L149" s="195">
        <f>IF(K149="","",$B149*'AEO 2018_Table 13'!L$36/'AEO 2018_Table 13'!$C$36)</f>
        <v>5.8782740511877201</v>
      </c>
      <c r="M149" s="195">
        <f>IF(L149="","",$B149*'AEO 2018_Table 13'!M$36/'AEO 2018_Table 13'!$C$36)</f>
        <v>5.8524596025331395</v>
      </c>
      <c r="N149" s="195">
        <f>IF(M149="","",$B149*'AEO 2018_Table 13'!N$36/'AEO 2018_Table 13'!$C$36)</f>
        <v>5.8779786317147291</v>
      </c>
      <c r="O149" s="195">
        <f>IF(N149="","",$B149*'AEO 2018_Table 13'!O$36/'AEO 2018_Table 13'!$C$36)</f>
        <v>5.9000742705328371</v>
      </c>
      <c r="P149" s="195">
        <f>IF(O149="","",$B149*'AEO 2018_Table 13'!P$36/'AEO 2018_Table 13'!$C$36)</f>
        <v>5.9124731995904254</v>
      </c>
      <c r="Q149" s="195">
        <f>IF(P149="","",$B149*'AEO 2018_Table 13'!Q$36/'AEO 2018_Table 13'!$C$36)</f>
        <v>5.8975458273963586</v>
      </c>
      <c r="R149" s="195">
        <f>IF(Q149="","",$B149*'AEO 2018_Table 13'!R$36/'AEO 2018_Table 13'!$C$36)</f>
        <v>5.9009431513357535</v>
      </c>
      <c r="S149" s="195">
        <f>IF(R149="","",$B149*'AEO 2018_Table 13'!S$36/'AEO 2018_Table 13'!$C$36)</f>
        <v>5.9151667300794593</v>
      </c>
      <c r="T149" s="195">
        <f>IF(S149="","",$B149*'AEO 2018_Table 13'!T$36/'AEO 2018_Table 13'!$C$36)</f>
        <v>5.9114479202429848</v>
      </c>
      <c r="U149" s="195">
        <f>IF(T149="","",$B149*'AEO 2018_Table 13'!U$36/'AEO 2018_Table 13'!$C$36)</f>
        <v>5.9254369011699053</v>
      </c>
      <c r="V149" s="195">
        <f>IF(U149="","",$B149*'AEO 2018_Table 13'!V$36/'AEO 2018_Table 13'!$C$36)</f>
        <v>5.9409898675420694</v>
      </c>
      <c r="W149" s="195">
        <f>IF(V149="","",$B149*'AEO 2018_Table 13'!W$36/'AEO 2018_Table 13'!$C$36)</f>
        <v>5.9717656255812903</v>
      </c>
      <c r="X149" s="195">
        <f>IF(W149="","",$B149*'AEO 2018_Table 13'!X$36/'AEO 2018_Table 13'!$C$36)</f>
        <v>5.9866669313512695</v>
      </c>
      <c r="Y149" s="195">
        <f>IF(X149="","",$B149*'AEO 2018_Table 13'!Y$36/'AEO 2018_Table 13'!$C$36)</f>
        <v>6.0000476957161482</v>
      </c>
      <c r="Z149" s="195">
        <f>IF(Y149="","",$B149*'AEO 2018_Table 13'!Z$36/'AEO 2018_Table 13'!$C$36)</f>
        <v>6.0150619559905074</v>
      </c>
      <c r="AA149" s="195">
        <f>IF(Z149="","",$B149*'AEO 2018_Table 13'!AA$36/'AEO 2018_Table 13'!$C$36)</f>
        <v>6.0166693854758986</v>
      </c>
      <c r="AB149" s="195">
        <f>IF(AA149="","",$B149*'AEO 2018_Table 13'!AB$36/'AEO 2018_Table 13'!$C$36)</f>
        <v>6.0295722653991737</v>
      </c>
      <c r="AC149" s="195">
        <f>IF(AB149="","",$B149*'AEO 2018_Table 13'!AC$36/'AEO 2018_Table 13'!$C$36)</f>
        <v>6.0647271826850844</v>
      </c>
      <c r="AD149" s="195">
        <f>IF(AC149="","",$B149*'AEO 2018_Table 13'!AD$36/'AEO 2018_Table 13'!$C$36)</f>
        <v>6.0988133765834087</v>
      </c>
      <c r="AE149" s="195">
        <f>IF(AD149="","",$B149*'AEO 2018_Table 13'!AE$36/'AEO 2018_Table 13'!$C$36)</f>
        <v>6.1121854521402597</v>
      </c>
      <c r="AF149" s="195">
        <f>IF(AE149="","",$B149*'AEO 2018_Table 13'!AF$36/'AEO 2018_Table 13'!$C$36)</f>
        <v>6.1416492001670795</v>
      </c>
      <c r="AG149" s="195">
        <f>IF(AF149="","",$B149*'AEO 2018_Table 13'!AG$36/'AEO 2018_Table 13'!$C$36)</f>
        <v>6.1674984040537781</v>
      </c>
      <c r="AH149" s="195">
        <f>IF(AG149="","",$B149*'AEO 2018_Table 13'!AH$36/'AEO 2018_Table 13'!$C$36)</f>
        <v>6.1775252885194085</v>
      </c>
      <c r="AI149" s="195">
        <f>IF(AH149="","",$B149*'AEO 2018_Table 13'!AI$36/'AEO 2018_Table 13'!$C$36)</f>
        <v>6.2062765542878404</v>
      </c>
      <c r="AJ149" s="195">
        <f>IF(AI149="","",$B149*'AEO 2018_Table 13'!AJ$36/'AEO 2018_Table 13'!$C$36)</f>
        <v>6.2294930493417091</v>
      </c>
      <c r="AK149" s="195">
        <f>IF(AJ149="","",$B149*'AEO 2018_Table 13'!AK$36/'AEO 2018_Table 13'!$C$36)</f>
        <v>6.2662119520728634</v>
      </c>
    </row>
    <row r="150" spans="1:37" x14ac:dyDescent="0.25">
      <c r="A150" s="219" t="s">
        <v>1283</v>
      </c>
      <c r="B150" s="221"/>
      <c r="C150" s="221" t="str">
        <f>IF(B150="","",$B150*'AEO 2018_Table 13'!C$36/'AEO 2018_Table 13'!$C$36)</f>
        <v/>
      </c>
      <c r="D150" s="221" t="str">
        <f>IF(C150="","",$B150*'AEO 2018_Table 13'!D$36/'AEO 2018_Table 13'!$C$36)</f>
        <v/>
      </c>
      <c r="E150" s="221" t="str">
        <f>IF(D150="","",$B150*'AEO 2018_Table 13'!E$36/'AEO 2018_Table 13'!$C$36)</f>
        <v/>
      </c>
      <c r="F150" s="221" t="str">
        <f>IF(E150="","",$B150*'AEO 2018_Table 13'!F$36/'AEO 2018_Table 13'!$C$36)</f>
        <v/>
      </c>
      <c r="G150" s="221" t="str">
        <f>IF(F150="","",$B150*'AEO 2018_Table 13'!G$36/'AEO 2018_Table 13'!$C$36)</f>
        <v/>
      </c>
      <c r="H150" s="221" t="str">
        <f>IF(G150="","",$B150*'AEO 2018_Table 13'!H$36/'AEO 2018_Table 13'!$C$36)</f>
        <v/>
      </c>
      <c r="I150" s="221" t="str">
        <f>IF(H150="","",$B150*'AEO 2018_Table 13'!I$36/'AEO 2018_Table 13'!$C$36)</f>
        <v/>
      </c>
      <c r="J150" s="221" t="str">
        <f>IF(I150="","",$B150*'AEO 2018_Table 13'!J$36/'AEO 2018_Table 13'!$C$36)</f>
        <v/>
      </c>
      <c r="K150" s="221" t="str">
        <f>IF(J150="","",$B150*'AEO 2018_Table 13'!K$36/'AEO 2018_Table 13'!$C$36)</f>
        <v/>
      </c>
      <c r="L150" s="221" t="str">
        <f>IF(K150="","",$B150*'AEO 2018_Table 13'!L$36/'AEO 2018_Table 13'!$C$36)</f>
        <v/>
      </c>
      <c r="M150" s="221" t="str">
        <f>IF(L150="","",$B150*'AEO 2018_Table 13'!M$36/'AEO 2018_Table 13'!$C$36)</f>
        <v/>
      </c>
      <c r="N150" s="221" t="str">
        <f>IF(M150="","",$B150*'AEO 2018_Table 13'!N$36/'AEO 2018_Table 13'!$C$36)</f>
        <v/>
      </c>
      <c r="O150" s="221" t="str">
        <f>IF(N150="","",$B150*'AEO 2018_Table 13'!O$36/'AEO 2018_Table 13'!$C$36)</f>
        <v/>
      </c>
      <c r="P150" s="221" t="str">
        <f>IF(O150="","",$B150*'AEO 2018_Table 13'!P$36/'AEO 2018_Table 13'!$C$36)</f>
        <v/>
      </c>
      <c r="Q150" s="221" t="str">
        <f>IF(P150="","",$B150*'AEO 2018_Table 13'!Q$36/'AEO 2018_Table 13'!$C$36)</f>
        <v/>
      </c>
      <c r="R150" s="221" t="str">
        <f>IF(Q150="","",$B150*'AEO 2018_Table 13'!R$36/'AEO 2018_Table 13'!$C$36)</f>
        <v/>
      </c>
      <c r="S150" s="221" t="str">
        <f>IF(R150="","",$B150*'AEO 2018_Table 13'!S$36/'AEO 2018_Table 13'!$C$36)</f>
        <v/>
      </c>
      <c r="T150" s="221" t="str">
        <f>IF(S150="","",$B150*'AEO 2018_Table 13'!T$36/'AEO 2018_Table 13'!$C$36)</f>
        <v/>
      </c>
      <c r="U150" s="221" t="str">
        <f>IF(T150="","",$B150*'AEO 2018_Table 13'!U$36/'AEO 2018_Table 13'!$C$36)</f>
        <v/>
      </c>
      <c r="V150" s="221" t="str">
        <f>IF(U150="","",$B150*'AEO 2018_Table 13'!V$36/'AEO 2018_Table 13'!$C$36)</f>
        <v/>
      </c>
      <c r="W150" s="221" t="str">
        <f>IF(V150="","",$B150*'AEO 2018_Table 13'!W$36/'AEO 2018_Table 13'!$C$36)</f>
        <v/>
      </c>
      <c r="X150" s="221" t="str">
        <f>IF(W150="","",$B150*'AEO 2018_Table 13'!X$36/'AEO 2018_Table 13'!$C$36)</f>
        <v/>
      </c>
      <c r="Y150" s="221" t="str">
        <f>IF(X150="","",$B150*'AEO 2018_Table 13'!Y$36/'AEO 2018_Table 13'!$C$36)</f>
        <v/>
      </c>
      <c r="Z150" s="221" t="str">
        <f>IF(Y150="","",$B150*'AEO 2018_Table 13'!Z$36/'AEO 2018_Table 13'!$C$36)</f>
        <v/>
      </c>
      <c r="AA150" s="221" t="str">
        <f>IF(Z150="","",$B150*'AEO 2018_Table 13'!AA$36/'AEO 2018_Table 13'!$C$36)</f>
        <v/>
      </c>
      <c r="AB150" s="221" t="str">
        <f>IF(AA150="","",$B150*'AEO 2018_Table 13'!AB$36/'AEO 2018_Table 13'!$C$36)</f>
        <v/>
      </c>
      <c r="AC150" s="221" t="str">
        <f>IF(AB150="","",$B150*'AEO 2018_Table 13'!AC$36/'AEO 2018_Table 13'!$C$36)</f>
        <v/>
      </c>
      <c r="AD150" s="221" t="str">
        <f>IF(AC150="","",$B150*'AEO 2018_Table 13'!AD$36/'AEO 2018_Table 13'!$C$36)</f>
        <v/>
      </c>
      <c r="AE150" s="221" t="str">
        <f>IF(AD150="","",$B150*'AEO 2018_Table 13'!AE$36/'AEO 2018_Table 13'!$C$36)</f>
        <v/>
      </c>
      <c r="AF150" s="221" t="str">
        <f>IF(AE150="","",$B150*'AEO 2018_Table 13'!AF$36/'AEO 2018_Table 13'!$C$36)</f>
        <v/>
      </c>
      <c r="AG150" s="221" t="str">
        <f>IF(AF150="","",$B150*'AEO 2018_Table 13'!AG$36/'AEO 2018_Table 13'!$C$36)</f>
        <v/>
      </c>
      <c r="AH150" s="221" t="str">
        <f>IF(AG150="","",$B150*'AEO 2018_Table 13'!AH$36/'AEO 2018_Table 13'!$C$36)</f>
        <v/>
      </c>
      <c r="AI150" s="221" t="str">
        <f>IF(AH150="","",$B150*'AEO 2018_Table 13'!AI$36/'AEO 2018_Table 13'!$C$36)</f>
        <v/>
      </c>
      <c r="AJ150" s="221" t="str">
        <f>IF(AI150="","",$B150*'AEO 2018_Table 13'!AJ$36/'AEO 2018_Table 13'!$C$36)</f>
        <v/>
      </c>
      <c r="AK150" s="221" t="str">
        <f>IF(AJ150="","",$B150*'AEO 2018_Table 13'!AK$36/'AEO 2018_Table 13'!$C$36)</f>
        <v/>
      </c>
    </row>
    <row r="151" spans="1:37" x14ac:dyDescent="0.25">
      <c r="A151" s="213" t="s">
        <v>1276</v>
      </c>
      <c r="B151" s="193">
        <v>1.16417885661</v>
      </c>
      <c r="C151" s="195">
        <f>IF(B151="","",$B151*'AEO 2018_Table 62'!C$19/'AEO 2018_Table 62'!$C$19)</f>
        <v>1.16417885661</v>
      </c>
      <c r="D151" s="195">
        <f>IF(C151="","",$B151*'AEO 2018_Table 62'!D$19/'AEO 2018_Table 62'!$C$19)</f>
        <v>1.0419083907220461</v>
      </c>
      <c r="E151" s="195">
        <f>IF(D151="","",$B151*'AEO 2018_Table 62'!E$19/'AEO 2018_Table 62'!$C$19)</f>
        <v>1.0320564585838619</v>
      </c>
      <c r="F151" s="195">
        <f>IF(E151="","",$B151*'AEO 2018_Table 62'!F$19/'AEO 2018_Table 62'!$C$19)</f>
        <v>1.0242547934041644</v>
      </c>
      <c r="G151" s="195">
        <f>IF(F151="","",$B151*'AEO 2018_Table 62'!G$19/'AEO 2018_Table 62'!$C$19)</f>
        <v>1.018436828073912</v>
      </c>
      <c r="H151" s="195">
        <f>IF(G151="","",$B151*'AEO 2018_Table 62'!H$19/'AEO 2018_Table 62'!$C$19)</f>
        <v>1.0145892491712969</v>
      </c>
      <c r="I151" s="195">
        <f>IF(H151="","",$B151*'AEO 2018_Table 62'!I$19/'AEO 2018_Table 62'!$C$19)</f>
        <v>1.0126721164308934</v>
      </c>
      <c r="J151" s="195">
        <f>IF(I151="","",$B151*'AEO 2018_Table 62'!J$19/'AEO 2018_Table 62'!$C$19)</f>
        <v>1.0126721164308934</v>
      </c>
      <c r="K151" s="195">
        <f>IF(J151="","",$B151*'AEO 2018_Table 62'!K$19/'AEO 2018_Table 62'!$C$19)</f>
        <v>1.0126721164308934</v>
      </c>
      <c r="L151" s="195">
        <f>IF(K151="","",$B151*'AEO 2018_Table 62'!L$19/'AEO 2018_Table 62'!$C$19)</f>
        <v>1.0126721164308934</v>
      </c>
      <c r="M151" s="195">
        <f>IF(L151="","",$B151*'AEO 2018_Table 62'!M$19/'AEO 2018_Table 62'!$C$19)</f>
        <v>1.0126721164308934</v>
      </c>
      <c r="N151" s="195">
        <f>IF(M151="","",$B151*'AEO 2018_Table 62'!N$19/'AEO 2018_Table 62'!$C$19)</f>
        <v>1.0126721164308934</v>
      </c>
      <c r="O151" s="195">
        <f>IF(N151="","",$B151*'AEO 2018_Table 62'!O$19/'AEO 2018_Table 62'!$C$19)</f>
        <v>1.0126721164308934</v>
      </c>
      <c r="P151" s="195">
        <f>IF(O151="","",$B151*'AEO 2018_Table 62'!P$19/'AEO 2018_Table 62'!$C$19)</f>
        <v>1.0126721164308934</v>
      </c>
      <c r="Q151" s="195">
        <f>IF(P151="","",$B151*'AEO 2018_Table 62'!Q$19/'AEO 2018_Table 62'!$C$19)</f>
        <v>1.0126721164308934</v>
      </c>
      <c r="R151" s="195">
        <f>IF(Q151="","",$B151*'AEO 2018_Table 62'!R$19/'AEO 2018_Table 62'!$C$19)</f>
        <v>1.0126721164308934</v>
      </c>
      <c r="S151" s="195">
        <f>IF(R151="","",$B151*'AEO 2018_Table 62'!S$19/'AEO 2018_Table 62'!$C$19)</f>
        <v>1.0126721164308934</v>
      </c>
      <c r="T151" s="195">
        <f>IF(S151="","",$B151*'AEO 2018_Table 62'!T$19/'AEO 2018_Table 62'!$C$19)</f>
        <v>1.0126721164308934</v>
      </c>
      <c r="U151" s="195">
        <f>IF(T151="","",$B151*'AEO 2018_Table 62'!U$19/'AEO 2018_Table 62'!$C$19)</f>
        <v>1.0126721164308934</v>
      </c>
      <c r="V151" s="195">
        <f>IF(U151="","",$B151*'AEO 2018_Table 62'!V$19/'AEO 2018_Table 62'!$C$19)</f>
        <v>1.0126721164308934</v>
      </c>
      <c r="W151" s="195">
        <f>IF(V151="","",$B151*'AEO 2018_Table 62'!W$19/'AEO 2018_Table 62'!$C$19)</f>
        <v>1.0126721164308934</v>
      </c>
      <c r="X151" s="195">
        <f>IF(W151="","",$B151*'AEO 2018_Table 62'!X$19/'AEO 2018_Table 62'!$C$19)</f>
        <v>1.0126721164308934</v>
      </c>
      <c r="Y151" s="195">
        <f>IF(X151="","",$B151*'AEO 2018_Table 62'!Y$19/'AEO 2018_Table 62'!$C$19)</f>
        <v>1.0126721164308934</v>
      </c>
      <c r="Z151" s="195">
        <f>IF(Y151="","",$B151*'AEO 2018_Table 62'!Z$19/'AEO 2018_Table 62'!$C$19)</f>
        <v>1.0126721164308934</v>
      </c>
      <c r="AA151" s="195">
        <f>IF(Z151="","",$B151*'AEO 2018_Table 62'!AA$19/'AEO 2018_Table 62'!$C$19)</f>
        <v>1.0126721164308934</v>
      </c>
      <c r="AB151" s="195">
        <f>IF(AA151="","",$B151*'AEO 2018_Table 62'!AB$19/'AEO 2018_Table 62'!$C$19)</f>
        <v>1.0126721164308934</v>
      </c>
      <c r="AC151" s="195">
        <f>IF(AB151="","",$B151*'AEO 2018_Table 62'!AC$19/'AEO 2018_Table 62'!$C$19)</f>
        <v>1.0126721164308934</v>
      </c>
      <c r="AD151" s="195">
        <f>IF(AC151="","",$B151*'AEO 2018_Table 62'!AD$19/'AEO 2018_Table 62'!$C$19)</f>
        <v>1.0126721164308934</v>
      </c>
      <c r="AE151" s="195">
        <f>IF(AD151="","",$B151*'AEO 2018_Table 62'!AE$19/'AEO 2018_Table 62'!$C$19)</f>
        <v>1.0126721164308934</v>
      </c>
      <c r="AF151" s="195">
        <f>IF(AE151="","",$B151*'AEO 2018_Table 62'!AF$19/'AEO 2018_Table 62'!$C$19)</f>
        <v>1.0126721164308934</v>
      </c>
      <c r="AG151" s="195">
        <f>IF(AF151="","",$B151*'AEO 2018_Table 62'!AG$19/'AEO 2018_Table 62'!$C$19)</f>
        <v>1.0126721164308934</v>
      </c>
      <c r="AH151" s="195">
        <f>IF(AG151="","",$B151*'AEO 2018_Table 62'!AH$19/'AEO 2018_Table 62'!$C$19)</f>
        <v>1.0126721164308934</v>
      </c>
      <c r="AI151" s="195">
        <f>IF(AH151="","",$B151*'AEO 2018_Table 62'!AI$19/'AEO 2018_Table 62'!$C$19)</f>
        <v>1.0126721164308934</v>
      </c>
      <c r="AJ151" s="195">
        <f>IF(AI151="","",$B151*'AEO 2018_Table 62'!AJ$19/'AEO 2018_Table 62'!$C$19)</f>
        <v>1.0126721164308934</v>
      </c>
      <c r="AK151" s="195">
        <f>IF(AJ151="","",$B151*'AEO 2018_Table 62'!AK$19/'AEO 2018_Table 62'!$C$19)</f>
        <v>1.0126721164308934</v>
      </c>
    </row>
    <row r="152" spans="1:37" x14ac:dyDescent="0.25">
      <c r="A152" s="212" t="s">
        <v>1277</v>
      </c>
      <c r="B152" s="196">
        <v>5.5517819781600011</v>
      </c>
      <c r="C152" s="195">
        <f>IF(B152="","",$B152*'AEO 2018_Table 62'!C$19/'AEO 2018_Table 62'!$C$19)</f>
        <v>5.5517819781600011</v>
      </c>
      <c r="D152" s="195">
        <f>IF(C152="","",$B152*'AEO 2018_Table 62'!D$19/'AEO 2018_Table 62'!$C$19)</f>
        <v>4.9686937652760816</v>
      </c>
      <c r="E152" s="195">
        <f>IF(D152="","",$B152*'AEO 2018_Table 62'!E$19/'AEO 2018_Table 62'!$C$19)</f>
        <v>4.9217114833146169</v>
      </c>
      <c r="F152" s="195">
        <f>IF(E152="","",$B152*'AEO 2018_Table 62'!F$19/'AEO 2018_Table 62'!$C$19)</f>
        <v>4.8845065951667532</v>
      </c>
      <c r="G152" s="195">
        <f>IF(F152="","",$B152*'AEO 2018_Table 62'!G$19/'AEO 2018_Table 62'!$C$19)</f>
        <v>4.8567616529814011</v>
      </c>
      <c r="H152" s="195">
        <f>IF(G152="","",$B152*'AEO 2018_Table 62'!H$19/'AEO 2018_Table 62'!$C$19)</f>
        <v>4.8384131671883424</v>
      </c>
      <c r="I152" s="195">
        <f>IF(H152="","",$B152*'AEO 2018_Table 62'!I$19/'AEO 2018_Table 62'!$C$19)</f>
        <v>4.829270669076922</v>
      </c>
      <c r="J152" s="195">
        <f>IF(I152="","",$B152*'AEO 2018_Table 62'!J$19/'AEO 2018_Table 62'!$C$19)</f>
        <v>4.829270669076922</v>
      </c>
      <c r="K152" s="195">
        <f>IF(J152="","",$B152*'AEO 2018_Table 62'!K$19/'AEO 2018_Table 62'!$C$19)</f>
        <v>4.829270669076922</v>
      </c>
      <c r="L152" s="195">
        <f>IF(K152="","",$B152*'AEO 2018_Table 62'!L$19/'AEO 2018_Table 62'!$C$19)</f>
        <v>4.829270669076922</v>
      </c>
      <c r="M152" s="195">
        <f>IF(L152="","",$B152*'AEO 2018_Table 62'!M$19/'AEO 2018_Table 62'!$C$19)</f>
        <v>4.829270669076922</v>
      </c>
      <c r="N152" s="195">
        <f>IF(M152="","",$B152*'AEO 2018_Table 62'!N$19/'AEO 2018_Table 62'!$C$19)</f>
        <v>4.829270669076922</v>
      </c>
      <c r="O152" s="195">
        <f>IF(N152="","",$B152*'AEO 2018_Table 62'!O$19/'AEO 2018_Table 62'!$C$19)</f>
        <v>4.829270669076922</v>
      </c>
      <c r="P152" s="195">
        <f>IF(O152="","",$B152*'AEO 2018_Table 62'!P$19/'AEO 2018_Table 62'!$C$19)</f>
        <v>4.829270669076922</v>
      </c>
      <c r="Q152" s="195">
        <f>IF(P152="","",$B152*'AEO 2018_Table 62'!Q$19/'AEO 2018_Table 62'!$C$19)</f>
        <v>4.829270669076922</v>
      </c>
      <c r="R152" s="195">
        <f>IF(Q152="","",$B152*'AEO 2018_Table 62'!R$19/'AEO 2018_Table 62'!$C$19)</f>
        <v>4.829270669076922</v>
      </c>
      <c r="S152" s="195">
        <f>IF(R152="","",$B152*'AEO 2018_Table 62'!S$19/'AEO 2018_Table 62'!$C$19)</f>
        <v>4.829270669076922</v>
      </c>
      <c r="T152" s="195">
        <f>IF(S152="","",$B152*'AEO 2018_Table 62'!T$19/'AEO 2018_Table 62'!$C$19)</f>
        <v>4.829270669076922</v>
      </c>
      <c r="U152" s="195">
        <f>IF(T152="","",$B152*'AEO 2018_Table 62'!U$19/'AEO 2018_Table 62'!$C$19)</f>
        <v>4.829270669076922</v>
      </c>
      <c r="V152" s="195">
        <f>IF(U152="","",$B152*'AEO 2018_Table 62'!V$19/'AEO 2018_Table 62'!$C$19)</f>
        <v>4.829270669076922</v>
      </c>
      <c r="W152" s="195">
        <f>IF(V152="","",$B152*'AEO 2018_Table 62'!W$19/'AEO 2018_Table 62'!$C$19)</f>
        <v>4.829270669076922</v>
      </c>
      <c r="X152" s="195">
        <f>IF(W152="","",$B152*'AEO 2018_Table 62'!X$19/'AEO 2018_Table 62'!$C$19)</f>
        <v>4.829270669076922</v>
      </c>
      <c r="Y152" s="195">
        <f>IF(X152="","",$B152*'AEO 2018_Table 62'!Y$19/'AEO 2018_Table 62'!$C$19)</f>
        <v>4.829270669076922</v>
      </c>
      <c r="Z152" s="195">
        <f>IF(Y152="","",$B152*'AEO 2018_Table 62'!Z$19/'AEO 2018_Table 62'!$C$19)</f>
        <v>4.829270669076922</v>
      </c>
      <c r="AA152" s="195">
        <f>IF(Z152="","",$B152*'AEO 2018_Table 62'!AA$19/'AEO 2018_Table 62'!$C$19)</f>
        <v>4.829270669076922</v>
      </c>
      <c r="AB152" s="195">
        <f>IF(AA152="","",$B152*'AEO 2018_Table 62'!AB$19/'AEO 2018_Table 62'!$C$19)</f>
        <v>4.829270669076922</v>
      </c>
      <c r="AC152" s="195">
        <f>IF(AB152="","",$B152*'AEO 2018_Table 62'!AC$19/'AEO 2018_Table 62'!$C$19)</f>
        <v>4.829270669076922</v>
      </c>
      <c r="AD152" s="195">
        <f>IF(AC152="","",$B152*'AEO 2018_Table 62'!AD$19/'AEO 2018_Table 62'!$C$19)</f>
        <v>4.829270669076922</v>
      </c>
      <c r="AE152" s="195">
        <f>IF(AD152="","",$B152*'AEO 2018_Table 62'!AE$19/'AEO 2018_Table 62'!$C$19)</f>
        <v>4.829270669076922</v>
      </c>
      <c r="AF152" s="195">
        <f>IF(AE152="","",$B152*'AEO 2018_Table 62'!AF$19/'AEO 2018_Table 62'!$C$19)</f>
        <v>4.829270669076922</v>
      </c>
      <c r="AG152" s="195">
        <f>IF(AF152="","",$B152*'AEO 2018_Table 62'!AG$19/'AEO 2018_Table 62'!$C$19)</f>
        <v>4.829270669076922</v>
      </c>
      <c r="AH152" s="195">
        <f>IF(AG152="","",$B152*'AEO 2018_Table 62'!AH$19/'AEO 2018_Table 62'!$C$19)</f>
        <v>4.829270669076922</v>
      </c>
      <c r="AI152" s="195">
        <f>IF(AH152="","",$B152*'AEO 2018_Table 62'!AI$19/'AEO 2018_Table 62'!$C$19)</f>
        <v>4.829270669076922</v>
      </c>
      <c r="AJ152" s="195">
        <f>IF(AI152="","",$B152*'AEO 2018_Table 62'!AJ$19/'AEO 2018_Table 62'!$C$19)</f>
        <v>4.829270669076922</v>
      </c>
      <c r="AK152" s="195">
        <f>IF(AJ152="","",$B152*'AEO 2018_Table 62'!AK$19/'AEO 2018_Table 62'!$C$19)</f>
        <v>4.829270669076922</v>
      </c>
    </row>
    <row r="153" spans="1:37" x14ac:dyDescent="0.25">
      <c r="A153" s="206" t="s">
        <v>1278</v>
      </c>
      <c r="B153" s="195">
        <v>1.4185058758200002</v>
      </c>
      <c r="C153" s="195">
        <f>IF(B153="","",$B153*'AEO 2018_Table 62'!C$19/'AEO 2018_Table 62'!$C$19)</f>
        <v>1.4185058758200002</v>
      </c>
      <c r="D153" s="195">
        <f>IF(C153="","",$B153*'AEO 2018_Table 62'!D$19/'AEO 2018_Table 62'!$C$19)</f>
        <v>1.2695241507899138</v>
      </c>
      <c r="E153" s="195">
        <f>IF(D153="","",$B153*'AEO 2018_Table 62'!E$19/'AEO 2018_Table 62'!$C$19)</f>
        <v>1.2575199612731169</v>
      </c>
      <c r="F153" s="195">
        <f>IF(E153="","",$B153*'AEO 2018_Table 62'!F$19/'AEO 2018_Table 62'!$C$19)</f>
        <v>1.2480139409260316</v>
      </c>
      <c r="G153" s="195">
        <f>IF(F153="","",$B153*'AEO 2018_Table 62'!G$19/'AEO 2018_Table 62'!$C$19)</f>
        <v>1.2409249803600311</v>
      </c>
      <c r="H153" s="195">
        <f>IF(G153="","",$B153*'AEO 2018_Table 62'!H$19/'AEO 2018_Table 62'!$C$19)</f>
        <v>1.2362368576973901</v>
      </c>
      <c r="I153" s="195">
        <f>IF(H153="","",$B153*'AEO 2018_Table 62'!I$19/'AEO 2018_Table 62'!$C$19)</f>
        <v>1.2339009073049323</v>
      </c>
      <c r="J153" s="195">
        <f>IF(I153="","",$B153*'AEO 2018_Table 62'!J$19/'AEO 2018_Table 62'!$C$19)</f>
        <v>1.2339009073049323</v>
      </c>
      <c r="K153" s="195">
        <f>IF(J153="","",$B153*'AEO 2018_Table 62'!K$19/'AEO 2018_Table 62'!$C$19)</f>
        <v>1.2339009073049323</v>
      </c>
      <c r="L153" s="195">
        <f>IF(K153="","",$B153*'AEO 2018_Table 62'!L$19/'AEO 2018_Table 62'!$C$19)</f>
        <v>1.2339009073049323</v>
      </c>
      <c r="M153" s="195">
        <f>IF(L153="","",$B153*'AEO 2018_Table 62'!M$19/'AEO 2018_Table 62'!$C$19)</f>
        <v>1.2339009073049323</v>
      </c>
      <c r="N153" s="195">
        <f>IF(M153="","",$B153*'AEO 2018_Table 62'!N$19/'AEO 2018_Table 62'!$C$19)</f>
        <v>1.2339009073049323</v>
      </c>
      <c r="O153" s="195">
        <f>IF(N153="","",$B153*'AEO 2018_Table 62'!O$19/'AEO 2018_Table 62'!$C$19)</f>
        <v>1.2339009073049323</v>
      </c>
      <c r="P153" s="195">
        <f>IF(O153="","",$B153*'AEO 2018_Table 62'!P$19/'AEO 2018_Table 62'!$C$19)</f>
        <v>1.2339009073049323</v>
      </c>
      <c r="Q153" s="195">
        <f>IF(P153="","",$B153*'AEO 2018_Table 62'!Q$19/'AEO 2018_Table 62'!$C$19)</f>
        <v>1.2339009073049323</v>
      </c>
      <c r="R153" s="195">
        <f>IF(Q153="","",$B153*'AEO 2018_Table 62'!R$19/'AEO 2018_Table 62'!$C$19)</f>
        <v>1.2339009073049323</v>
      </c>
      <c r="S153" s="195">
        <f>IF(R153="","",$B153*'AEO 2018_Table 62'!S$19/'AEO 2018_Table 62'!$C$19)</f>
        <v>1.2339009073049323</v>
      </c>
      <c r="T153" s="195">
        <f>IF(S153="","",$B153*'AEO 2018_Table 62'!T$19/'AEO 2018_Table 62'!$C$19)</f>
        <v>1.2339009073049323</v>
      </c>
      <c r="U153" s="195">
        <f>IF(T153="","",$B153*'AEO 2018_Table 62'!U$19/'AEO 2018_Table 62'!$C$19)</f>
        <v>1.2339009073049323</v>
      </c>
      <c r="V153" s="195">
        <f>IF(U153="","",$B153*'AEO 2018_Table 62'!V$19/'AEO 2018_Table 62'!$C$19)</f>
        <v>1.2339009073049323</v>
      </c>
      <c r="W153" s="195">
        <f>IF(V153="","",$B153*'AEO 2018_Table 62'!W$19/'AEO 2018_Table 62'!$C$19)</f>
        <v>1.2339009073049323</v>
      </c>
      <c r="X153" s="195">
        <f>IF(W153="","",$B153*'AEO 2018_Table 62'!X$19/'AEO 2018_Table 62'!$C$19)</f>
        <v>1.2339009073049323</v>
      </c>
      <c r="Y153" s="195">
        <f>IF(X153="","",$B153*'AEO 2018_Table 62'!Y$19/'AEO 2018_Table 62'!$C$19)</f>
        <v>1.2339009073049323</v>
      </c>
      <c r="Z153" s="195">
        <f>IF(Y153="","",$B153*'AEO 2018_Table 62'!Z$19/'AEO 2018_Table 62'!$C$19)</f>
        <v>1.2339009073049323</v>
      </c>
      <c r="AA153" s="195">
        <f>IF(Z153="","",$B153*'AEO 2018_Table 62'!AA$19/'AEO 2018_Table 62'!$C$19)</f>
        <v>1.2339009073049323</v>
      </c>
      <c r="AB153" s="195">
        <f>IF(AA153="","",$B153*'AEO 2018_Table 62'!AB$19/'AEO 2018_Table 62'!$C$19)</f>
        <v>1.2339009073049323</v>
      </c>
      <c r="AC153" s="195">
        <f>IF(AB153="","",$B153*'AEO 2018_Table 62'!AC$19/'AEO 2018_Table 62'!$C$19)</f>
        <v>1.2339009073049323</v>
      </c>
      <c r="AD153" s="195">
        <f>IF(AC153="","",$B153*'AEO 2018_Table 62'!AD$19/'AEO 2018_Table 62'!$C$19)</f>
        <v>1.2339009073049323</v>
      </c>
      <c r="AE153" s="195">
        <f>IF(AD153="","",$B153*'AEO 2018_Table 62'!AE$19/'AEO 2018_Table 62'!$C$19)</f>
        <v>1.2339009073049323</v>
      </c>
      <c r="AF153" s="195">
        <f>IF(AE153="","",$B153*'AEO 2018_Table 62'!AF$19/'AEO 2018_Table 62'!$C$19)</f>
        <v>1.2339009073049323</v>
      </c>
      <c r="AG153" s="195">
        <f>IF(AF153="","",$B153*'AEO 2018_Table 62'!AG$19/'AEO 2018_Table 62'!$C$19)</f>
        <v>1.2339009073049323</v>
      </c>
      <c r="AH153" s="195">
        <f>IF(AG153="","",$B153*'AEO 2018_Table 62'!AH$19/'AEO 2018_Table 62'!$C$19)</f>
        <v>1.2339009073049323</v>
      </c>
      <c r="AI153" s="195">
        <f>IF(AH153="","",$B153*'AEO 2018_Table 62'!AI$19/'AEO 2018_Table 62'!$C$19)</f>
        <v>1.2339009073049323</v>
      </c>
      <c r="AJ153" s="195">
        <f>IF(AI153="","",$B153*'AEO 2018_Table 62'!AJ$19/'AEO 2018_Table 62'!$C$19)</f>
        <v>1.2339009073049323</v>
      </c>
      <c r="AK153" s="195">
        <f>IF(AJ153="","",$B153*'AEO 2018_Table 62'!AK$19/'AEO 2018_Table 62'!$C$19)</f>
        <v>1.2339009073049323</v>
      </c>
    </row>
    <row r="154" spans="1:37" x14ac:dyDescent="0.25">
      <c r="A154" s="207" t="s">
        <v>1279</v>
      </c>
      <c r="B154" s="191"/>
      <c r="C154" s="195" t="str">
        <f>IF(B154="","",$B154*'AEO 2018_Table 62'!C$19/'AEO 2018_Table 62'!$C$19)</f>
        <v/>
      </c>
      <c r="D154" s="195" t="str">
        <f>IF(C154="","",$B154*'AEO 2018_Table 62'!D$19/'AEO 2018_Table 62'!$C$19)</f>
        <v/>
      </c>
      <c r="E154" s="195" t="str">
        <f>IF(D154="","",$B154*'AEO 2018_Table 62'!E$19/'AEO 2018_Table 62'!$C$19)</f>
        <v/>
      </c>
      <c r="F154" s="195" t="str">
        <f>IF(E154="","",$B154*'AEO 2018_Table 62'!F$19/'AEO 2018_Table 62'!$C$19)</f>
        <v/>
      </c>
      <c r="G154" s="195" t="str">
        <f>IF(F154="","",$B154*'AEO 2018_Table 62'!G$19/'AEO 2018_Table 62'!$C$19)</f>
        <v/>
      </c>
      <c r="H154" s="195" t="str">
        <f>IF(G154="","",$B154*'AEO 2018_Table 62'!H$19/'AEO 2018_Table 62'!$C$19)</f>
        <v/>
      </c>
      <c r="I154" s="195" t="str">
        <f>IF(H154="","",$B154*'AEO 2018_Table 62'!I$19/'AEO 2018_Table 62'!$C$19)</f>
        <v/>
      </c>
      <c r="J154" s="195" t="str">
        <f>IF(I154="","",$B154*'AEO 2018_Table 62'!J$19/'AEO 2018_Table 62'!$C$19)</f>
        <v/>
      </c>
      <c r="K154" s="195" t="str">
        <f>IF(J154="","",$B154*'AEO 2018_Table 62'!K$19/'AEO 2018_Table 62'!$C$19)</f>
        <v/>
      </c>
      <c r="L154" s="195" t="str">
        <f>IF(K154="","",$B154*'AEO 2018_Table 62'!L$19/'AEO 2018_Table 62'!$C$19)</f>
        <v/>
      </c>
      <c r="M154" s="195" t="str">
        <f>IF(L154="","",$B154*'AEO 2018_Table 62'!M$19/'AEO 2018_Table 62'!$C$19)</f>
        <v/>
      </c>
      <c r="N154" s="195" t="str">
        <f>IF(M154="","",$B154*'AEO 2018_Table 62'!N$19/'AEO 2018_Table 62'!$C$19)</f>
        <v/>
      </c>
      <c r="O154" s="195" t="str">
        <f>IF(N154="","",$B154*'AEO 2018_Table 62'!O$19/'AEO 2018_Table 62'!$C$19)</f>
        <v/>
      </c>
      <c r="P154" s="195" t="str">
        <f>IF(O154="","",$B154*'AEO 2018_Table 62'!P$19/'AEO 2018_Table 62'!$C$19)</f>
        <v/>
      </c>
      <c r="Q154" s="195" t="str">
        <f>IF(P154="","",$B154*'AEO 2018_Table 62'!Q$19/'AEO 2018_Table 62'!$C$19)</f>
        <v/>
      </c>
      <c r="R154" s="195" t="str">
        <f>IF(Q154="","",$B154*'AEO 2018_Table 62'!R$19/'AEO 2018_Table 62'!$C$19)</f>
        <v/>
      </c>
      <c r="S154" s="195" t="str">
        <f>IF(R154="","",$B154*'AEO 2018_Table 62'!S$19/'AEO 2018_Table 62'!$C$19)</f>
        <v/>
      </c>
      <c r="T154" s="195" t="str">
        <f>IF(S154="","",$B154*'AEO 2018_Table 62'!T$19/'AEO 2018_Table 62'!$C$19)</f>
        <v/>
      </c>
      <c r="U154" s="195" t="str">
        <f>IF(T154="","",$B154*'AEO 2018_Table 62'!U$19/'AEO 2018_Table 62'!$C$19)</f>
        <v/>
      </c>
      <c r="V154" s="195" t="str">
        <f>IF(U154="","",$B154*'AEO 2018_Table 62'!V$19/'AEO 2018_Table 62'!$C$19)</f>
        <v/>
      </c>
      <c r="W154" s="195" t="str">
        <f>IF(V154="","",$B154*'AEO 2018_Table 62'!W$19/'AEO 2018_Table 62'!$C$19)</f>
        <v/>
      </c>
      <c r="X154" s="195" t="str">
        <f>IF(W154="","",$B154*'AEO 2018_Table 62'!X$19/'AEO 2018_Table 62'!$C$19)</f>
        <v/>
      </c>
      <c r="Y154" s="195" t="str">
        <f>IF(X154="","",$B154*'AEO 2018_Table 62'!Y$19/'AEO 2018_Table 62'!$C$19)</f>
        <v/>
      </c>
      <c r="Z154" s="195" t="str">
        <f>IF(Y154="","",$B154*'AEO 2018_Table 62'!Z$19/'AEO 2018_Table 62'!$C$19)</f>
        <v/>
      </c>
      <c r="AA154" s="195" t="str">
        <f>IF(Z154="","",$B154*'AEO 2018_Table 62'!AA$19/'AEO 2018_Table 62'!$C$19)</f>
        <v/>
      </c>
      <c r="AB154" s="195" t="str">
        <f>IF(AA154="","",$B154*'AEO 2018_Table 62'!AB$19/'AEO 2018_Table 62'!$C$19)</f>
        <v/>
      </c>
      <c r="AC154" s="195" t="str">
        <f>IF(AB154="","",$B154*'AEO 2018_Table 62'!AC$19/'AEO 2018_Table 62'!$C$19)</f>
        <v/>
      </c>
      <c r="AD154" s="195" t="str">
        <f>IF(AC154="","",$B154*'AEO 2018_Table 62'!AD$19/'AEO 2018_Table 62'!$C$19)</f>
        <v/>
      </c>
      <c r="AE154" s="195" t="str">
        <f>IF(AD154="","",$B154*'AEO 2018_Table 62'!AE$19/'AEO 2018_Table 62'!$C$19)</f>
        <v/>
      </c>
      <c r="AF154" s="195" t="str">
        <f>IF(AE154="","",$B154*'AEO 2018_Table 62'!AF$19/'AEO 2018_Table 62'!$C$19)</f>
        <v/>
      </c>
      <c r="AG154" s="195" t="str">
        <f>IF(AF154="","",$B154*'AEO 2018_Table 62'!AG$19/'AEO 2018_Table 62'!$C$19)</f>
        <v/>
      </c>
      <c r="AH154" s="195" t="str">
        <f>IF(AG154="","",$B154*'AEO 2018_Table 62'!AH$19/'AEO 2018_Table 62'!$C$19)</f>
        <v/>
      </c>
      <c r="AI154" s="195" t="str">
        <f>IF(AH154="","",$B154*'AEO 2018_Table 62'!AI$19/'AEO 2018_Table 62'!$C$19)</f>
        <v/>
      </c>
      <c r="AJ154" s="195" t="str">
        <f>IF(AI154="","",$B154*'AEO 2018_Table 62'!AJ$19/'AEO 2018_Table 62'!$C$19)</f>
        <v/>
      </c>
      <c r="AK154" s="195" t="str">
        <f>IF(AJ154="","",$B154*'AEO 2018_Table 62'!AK$19/'AEO 2018_Table 62'!$C$19)</f>
        <v/>
      </c>
    </row>
    <row r="155" spans="1:37" x14ac:dyDescent="0.25">
      <c r="A155" s="213" t="s">
        <v>1280</v>
      </c>
      <c r="B155" s="193">
        <v>2.0099213141128769</v>
      </c>
      <c r="C155" s="195">
        <f>IF(B155="","",$B155*'AEO 2018_Table 62'!C$19/'AEO 2018_Table 62'!$C$19)</f>
        <v>2.0099213141128769</v>
      </c>
      <c r="D155" s="195">
        <f>IF(C155="","",$B155*'AEO 2018_Table 62'!D$19/'AEO 2018_Table 62'!$C$19)</f>
        <v>1.7988248712601635</v>
      </c>
      <c r="E155" s="195">
        <f>IF(D155="","",$B155*'AEO 2018_Table 62'!E$19/'AEO 2018_Table 62'!$C$19)</f>
        <v>1.7818157937654984</v>
      </c>
      <c r="F155" s="195">
        <f>IF(E155="","",$B155*'AEO 2018_Table 62'!F$19/'AEO 2018_Table 62'!$C$19)</f>
        <v>1.7683464432089118</v>
      </c>
      <c r="G155" s="195">
        <f>IF(F155="","",$B155*'AEO 2018_Table 62'!G$19/'AEO 2018_Table 62'!$C$19)</f>
        <v>1.7583018933911159</v>
      </c>
      <c r="H155" s="195">
        <f>IF(G155="","",$B155*'AEO 2018_Table 62'!H$19/'AEO 2018_Table 62'!$C$19)</f>
        <v>1.7516591590722537</v>
      </c>
      <c r="I155" s="195">
        <f>IF(H155="","",$B155*'AEO 2018_Table 62'!I$19/'AEO 2018_Table 62'!$C$19)</f>
        <v>1.7483492845327511</v>
      </c>
      <c r="J155" s="195">
        <f>IF(I155="","",$B155*'AEO 2018_Table 62'!J$19/'AEO 2018_Table 62'!$C$19)</f>
        <v>1.7483492845327511</v>
      </c>
      <c r="K155" s="195">
        <f>IF(J155="","",$B155*'AEO 2018_Table 62'!K$19/'AEO 2018_Table 62'!$C$19)</f>
        <v>1.7483492845327511</v>
      </c>
      <c r="L155" s="195">
        <f>IF(K155="","",$B155*'AEO 2018_Table 62'!L$19/'AEO 2018_Table 62'!$C$19)</f>
        <v>1.7483492845327511</v>
      </c>
      <c r="M155" s="195">
        <f>IF(L155="","",$B155*'AEO 2018_Table 62'!M$19/'AEO 2018_Table 62'!$C$19)</f>
        <v>1.7483492845327511</v>
      </c>
      <c r="N155" s="195">
        <f>IF(M155="","",$B155*'AEO 2018_Table 62'!N$19/'AEO 2018_Table 62'!$C$19)</f>
        <v>1.7483492845327511</v>
      </c>
      <c r="O155" s="195">
        <f>IF(N155="","",$B155*'AEO 2018_Table 62'!O$19/'AEO 2018_Table 62'!$C$19)</f>
        <v>1.7483492845327511</v>
      </c>
      <c r="P155" s="195">
        <f>IF(O155="","",$B155*'AEO 2018_Table 62'!P$19/'AEO 2018_Table 62'!$C$19)</f>
        <v>1.7483492845327511</v>
      </c>
      <c r="Q155" s="195">
        <f>IF(P155="","",$B155*'AEO 2018_Table 62'!Q$19/'AEO 2018_Table 62'!$C$19)</f>
        <v>1.7483492845327511</v>
      </c>
      <c r="R155" s="195">
        <f>IF(Q155="","",$B155*'AEO 2018_Table 62'!R$19/'AEO 2018_Table 62'!$C$19)</f>
        <v>1.7483492845327511</v>
      </c>
      <c r="S155" s="195">
        <f>IF(R155="","",$B155*'AEO 2018_Table 62'!S$19/'AEO 2018_Table 62'!$C$19)</f>
        <v>1.7483492845327511</v>
      </c>
      <c r="T155" s="195">
        <f>IF(S155="","",$B155*'AEO 2018_Table 62'!T$19/'AEO 2018_Table 62'!$C$19)</f>
        <v>1.7483492845327511</v>
      </c>
      <c r="U155" s="195">
        <f>IF(T155="","",$B155*'AEO 2018_Table 62'!U$19/'AEO 2018_Table 62'!$C$19)</f>
        <v>1.7483492845327511</v>
      </c>
      <c r="V155" s="195">
        <f>IF(U155="","",$B155*'AEO 2018_Table 62'!V$19/'AEO 2018_Table 62'!$C$19)</f>
        <v>1.7483492845327511</v>
      </c>
      <c r="W155" s="195">
        <f>IF(V155="","",$B155*'AEO 2018_Table 62'!W$19/'AEO 2018_Table 62'!$C$19)</f>
        <v>1.7483492845327511</v>
      </c>
      <c r="X155" s="195">
        <f>IF(W155="","",$B155*'AEO 2018_Table 62'!X$19/'AEO 2018_Table 62'!$C$19)</f>
        <v>1.7483492845327511</v>
      </c>
      <c r="Y155" s="195">
        <f>IF(X155="","",$B155*'AEO 2018_Table 62'!Y$19/'AEO 2018_Table 62'!$C$19)</f>
        <v>1.7483492845327511</v>
      </c>
      <c r="Z155" s="195">
        <f>IF(Y155="","",$B155*'AEO 2018_Table 62'!Z$19/'AEO 2018_Table 62'!$C$19)</f>
        <v>1.7483492845327511</v>
      </c>
      <c r="AA155" s="195">
        <f>IF(Z155="","",$B155*'AEO 2018_Table 62'!AA$19/'AEO 2018_Table 62'!$C$19)</f>
        <v>1.7483492845327511</v>
      </c>
      <c r="AB155" s="195">
        <f>IF(AA155="","",$B155*'AEO 2018_Table 62'!AB$19/'AEO 2018_Table 62'!$C$19)</f>
        <v>1.7483492845327511</v>
      </c>
      <c r="AC155" s="195">
        <f>IF(AB155="","",$B155*'AEO 2018_Table 62'!AC$19/'AEO 2018_Table 62'!$C$19)</f>
        <v>1.7483492845327511</v>
      </c>
      <c r="AD155" s="195">
        <f>IF(AC155="","",$B155*'AEO 2018_Table 62'!AD$19/'AEO 2018_Table 62'!$C$19)</f>
        <v>1.7483492845327511</v>
      </c>
      <c r="AE155" s="195">
        <f>IF(AD155="","",$B155*'AEO 2018_Table 62'!AE$19/'AEO 2018_Table 62'!$C$19)</f>
        <v>1.7483492845327511</v>
      </c>
      <c r="AF155" s="195">
        <f>IF(AE155="","",$B155*'AEO 2018_Table 62'!AF$19/'AEO 2018_Table 62'!$C$19)</f>
        <v>1.7483492845327511</v>
      </c>
      <c r="AG155" s="195">
        <f>IF(AF155="","",$B155*'AEO 2018_Table 62'!AG$19/'AEO 2018_Table 62'!$C$19)</f>
        <v>1.7483492845327511</v>
      </c>
      <c r="AH155" s="195">
        <f>IF(AG155="","",$B155*'AEO 2018_Table 62'!AH$19/'AEO 2018_Table 62'!$C$19)</f>
        <v>1.7483492845327511</v>
      </c>
      <c r="AI155" s="195">
        <f>IF(AH155="","",$B155*'AEO 2018_Table 62'!AI$19/'AEO 2018_Table 62'!$C$19)</f>
        <v>1.7483492845327511</v>
      </c>
      <c r="AJ155" s="195">
        <f>IF(AI155="","",$B155*'AEO 2018_Table 62'!AJ$19/'AEO 2018_Table 62'!$C$19)</f>
        <v>1.7483492845327511</v>
      </c>
      <c r="AK155" s="195">
        <f>IF(AJ155="","",$B155*'AEO 2018_Table 62'!AK$19/'AEO 2018_Table 62'!$C$19)</f>
        <v>1.7483492845327511</v>
      </c>
    </row>
    <row r="156" spans="1:37" x14ac:dyDescent="0.25">
      <c r="A156" s="212" t="s">
        <v>1281</v>
      </c>
      <c r="B156" s="215">
        <v>1.0238928613545209E-2</v>
      </c>
      <c r="C156" s="195">
        <f>IF(B156="","",$B156*'AEO 2018_Table 62'!C$19/'AEO 2018_Table 62'!$C$19)</f>
        <v>1.0238928613545209E-2</v>
      </c>
      <c r="D156" s="195">
        <f>IF(C156="","",$B156*'AEO 2018_Table 62'!D$19/'AEO 2018_Table 62'!$C$19)</f>
        <v>9.1635624319112586E-3</v>
      </c>
      <c r="E156" s="195">
        <f>IF(D156="","",$B156*'AEO 2018_Table 62'!E$19/'AEO 2018_Table 62'!$C$19)</f>
        <v>9.076914895499116E-3</v>
      </c>
      <c r="F156" s="195">
        <f>IF(E156="","",$B156*'AEO 2018_Table 62'!F$19/'AEO 2018_Table 62'!$C$19)</f>
        <v>9.0082994139619316E-3</v>
      </c>
      <c r="G156" s="195">
        <f>IF(F156="","",$B156*'AEO 2018_Table 62'!G$19/'AEO 2018_Table 62'!$C$19)</f>
        <v>8.9571305309725981E-3</v>
      </c>
      <c r="H156" s="195">
        <f>IF(G156="","",$B156*'AEO 2018_Table 62'!H$19/'AEO 2018_Table 62'!$C$19)</f>
        <v>8.9232911552656943E-3</v>
      </c>
      <c r="I156" s="195">
        <f>IF(H156="","",$B156*'AEO 2018_Table 62'!I$19/'AEO 2018_Table 62'!$C$19)</f>
        <v>8.9064300130449522E-3</v>
      </c>
      <c r="J156" s="195">
        <f>IF(I156="","",$B156*'AEO 2018_Table 62'!J$19/'AEO 2018_Table 62'!$C$19)</f>
        <v>8.9064300130449522E-3</v>
      </c>
      <c r="K156" s="195">
        <f>IF(J156="","",$B156*'AEO 2018_Table 62'!K$19/'AEO 2018_Table 62'!$C$19)</f>
        <v>8.9064300130449522E-3</v>
      </c>
      <c r="L156" s="195">
        <f>IF(K156="","",$B156*'AEO 2018_Table 62'!L$19/'AEO 2018_Table 62'!$C$19)</f>
        <v>8.9064300130449522E-3</v>
      </c>
      <c r="M156" s="195">
        <f>IF(L156="","",$B156*'AEO 2018_Table 62'!M$19/'AEO 2018_Table 62'!$C$19)</f>
        <v>8.9064300130449522E-3</v>
      </c>
      <c r="N156" s="195">
        <f>IF(M156="","",$B156*'AEO 2018_Table 62'!N$19/'AEO 2018_Table 62'!$C$19)</f>
        <v>8.9064300130449522E-3</v>
      </c>
      <c r="O156" s="195">
        <f>IF(N156="","",$B156*'AEO 2018_Table 62'!O$19/'AEO 2018_Table 62'!$C$19)</f>
        <v>8.9064300130449522E-3</v>
      </c>
      <c r="P156" s="195">
        <f>IF(O156="","",$B156*'AEO 2018_Table 62'!P$19/'AEO 2018_Table 62'!$C$19)</f>
        <v>8.9064300130449522E-3</v>
      </c>
      <c r="Q156" s="195">
        <f>IF(P156="","",$B156*'AEO 2018_Table 62'!Q$19/'AEO 2018_Table 62'!$C$19)</f>
        <v>8.9064300130449522E-3</v>
      </c>
      <c r="R156" s="195">
        <f>IF(Q156="","",$B156*'AEO 2018_Table 62'!R$19/'AEO 2018_Table 62'!$C$19)</f>
        <v>8.9064300130449522E-3</v>
      </c>
      <c r="S156" s="195">
        <f>IF(R156="","",$B156*'AEO 2018_Table 62'!S$19/'AEO 2018_Table 62'!$C$19)</f>
        <v>8.9064300130449522E-3</v>
      </c>
      <c r="T156" s="195">
        <f>IF(S156="","",$B156*'AEO 2018_Table 62'!T$19/'AEO 2018_Table 62'!$C$19)</f>
        <v>8.9064300130449522E-3</v>
      </c>
      <c r="U156" s="195">
        <f>IF(T156="","",$B156*'AEO 2018_Table 62'!U$19/'AEO 2018_Table 62'!$C$19)</f>
        <v>8.9064300130449522E-3</v>
      </c>
      <c r="V156" s="195">
        <f>IF(U156="","",$B156*'AEO 2018_Table 62'!V$19/'AEO 2018_Table 62'!$C$19)</f>
        <v>8.9064300130449522E-3</v>
      </c>
      <c r="W156" s="195">
        <f>IF(V156="","",$B156*'AEO 2018_Table 62'!W$19/'AEO 2018_Table 62'!$C$19)</f>
        <v>8.9064300130449522E-3</v>
      </c>
      <c r="X156" s="195">
        <f>IF(W156="","",$B156*'AEO 2018_Table 62'!X$19/'AEO 2018_Table 62'!$C$19)</f>
        <v>8.9064300130449522E-3</v>
      </c>
      <c r="Y156" s="195">
        <f>IF(X156="","",$B156*'AEO 2018_Table 62'!Y$19/'AEO 2018_Table 62'!$C$19)</f>
        <v>8.9064300130449522E-3</v>
      </c>
      <c r="Z156" s="195">
        <f>IF(Y156="","",$B156*'AEO 2018_Table 62'!Z$19/'AEO 2018_Table 62'!$C$19)</f>
        <v>8.9064300130449522E-3</v>
      </c>
      <c r="AA156" s="195">
        <f>IF(Z156="","",$B156*'AEO 2018_Table 62'!AA$19/'AEO 2018_Table 62'!$C$19)</f>
        <v>8.9064300130449522E-3</v>
      </c>
      <c r="AB156" s="195">
        <f>IF(AA156="","",$B156*'AEO 2018_Table 62'!AB$19/'AEO 2018_Table 62'!$C$19)</f>
        <v>8.9064300130449522E-3</v>
      </c>
      <c r="AC156" s="195">
        <f>IF(AB156="","",$B156*'AEO 2018_Table 62'!AC$19/'AEO 2018_Table 62'!$C$19)</f>
        <v>8.9064300130449522E-3</v>
      </c>
      <c r="AD156" s="195">
        <f>IF(AC156="","",$B156*'AEO 2018_Table 62'!AD$19/'AEO 2018_Table 62'!$C$19)</f>
        <v>8.9064300130449522E-3</v>
      </c>
      <c r="AE156" s="195">
        <f>IF(AD156="","",$B156*'AEO 2018_Table 62'!AE$19/'AEO 2018_Table 62'!$C$19)</f>
        <v>8.9064300130449522E-3</v>
      </c>
      <c r="AF156" s="195">
        <f>IF(AE156="","",$B156*'AEO 2018_Table 62'!AF$19/'AEO 2018_Table 62'!$C$19)</f>
        <v>8.9064300130449522E-3</v>
      </c>
      <c r="AG156" s="195">
        <f>IF(AF156="","",$B156*'AEO 2018_Table 62'!AG$19/'AEO 2018_Table 62'!$C$19)</f>
        <v>8.9064300130449522E-3</v>
      </c>
      <c r="AH156" s="195">
        <f>IF(AG156="","",$B156*'AEO 2018_Table 62'!AH$19/'AEO 2018_Table 62'!$C$19)</f>
        <v>8.9064300130449522E-3</v>
      </c>
      <c r="AI156" s="195">
        <f>IF(AH156="","",$B156*'AEO 2018_Table 62'!AI$19/'AEO 2018_Table 62'!$C$19)</f>
        <v>8.9064300130449522E-3</v>
      </c>
      <c r="AJ156" s="195">
        <f>IF(AI156="","",$B156*'AEO 2018_Table 62'!AJ$19/'AEO 2018_Table 62'!$C$19)</f>
        <v>8.9064300130449522E-3</v>
      </c>
      <c r="AK156" s="195">
        <f>IF(AJ156="","",$B156*'AEO 2018_Table 62'!AK$19/'AEO 2018_Table 62'!$C$19)</f>
        <v>8.9064300130449522E-3</v>
      </c>
    </row>
    <row r="157" spans="1:37" x14ac:dyDescent="0.25">
      <c r="A157" s="206" t="s">
        <v>1282</v>
      </c>
      <c r="B157" s="195">
        <v>0.64644841799999997</v>
      </c>
      <c r="C157" s="195">
        <f>IF(B157="","",$B157*'AEO 2018_Table 62'!C$19/'AEO 2018_Table 62'!$C$19)</f>
        <v>0.64644841799999997</v>
      </c>
      <c r="D157" s="195">
        <f>IF(C157="","",$B157*'AEO 2018_Table 62'!D$19/'AEO 2018_Table 62'!$C$19)</f>
        <v>0.57855373945244959</v>
      </c>
      <c r="E157" s="195">
        <f>IF(D157="","",$B157*'AEO 2018_Table 62'!E$19/'AEO 2018_Table 62'!$C$19)</f>
        <v>0.57308313164265134</v>
      </c>
      <c r="F157" s="195">
        <f>IF(E157="","",$B157*'AEO 2018_Table 62'!F$19/'AEO 2018_Table 62'!$C$19)</f>
        <v>0.56875100167435166</v>
      </c>
      <c r="G157" s="195">
        <f>IF(F157="","",$B157*'AEO 2018_Table 62'!G$19/'AEO 2018_Table 62'!$C$19)</f>
        <v>0.56552038598126797</v>
      </c>
      <c r="H157" s="195">
        <f>IF(G157="","",$B157*'AEO 2018_Table 62'!H$19/'AEO 2018_Table 62'!$C$19)</f>
        <v>0.56338389185014404</v>
      </c>
      <c r="I157" s="195">
        <f>IF(H157="","",$B157*'AEO 2018_Table 62'!I$19/'AEO 2018_Table 62'!$C$19)</f>
        <v>0.5623193411412104</v>
      </c>
      <c r="J157" s="195">
        <f>IF(I157="","",$B157*'AEO 2018_Table 62'!J$19/'AEO 2018_Table 62'!$C$19)</f>
        <v>0.5623193411412104</v>
      </c>
      <c r="K157" s="195">
        <f>IF(J157="","",$B157*'AEO 2018_Table 62'!K$19/'AEO 2018_Table 62'!$C$19)</f>
        <v>0.5623193411412104</v>
      </c>
      <c r="L157" s="195">
        <f>IF(K157="","",$B157*'AEO 2018_Table 62'!L$19/'AEO 2018_Table 62'!$C$19)</f>
        <v>0.5623193411412104</v>
      </c>
      <c r="M157" s="195">
        <f>IF(L157="","",$B157*'AEO 2018_Table 62'!M$19/'AEO 2018_Table 62'!$C$19)</f>
        <v>0.5623193411412104</v>
      </c>
      <c r="N157" s="195">
        <f>IF(M157="","",$B157*'AEO 2018_Table 62'!N$19/'AEO 2018_Table 62'!$C$19)</f>
        <v>0.5623193411412104</v>
      </c>
      <c r="O157" s="195">
        <f>IF(N157="","",$B157*'AEO 2018_Table 62'!O$19/'AEO 2018_Table 62'!$C$19)</f>
        <v>0.5623193411412104</v>
      </c>
      <c r="P157" s="195">
        <f>IF(O157="","",$B157*'AEO 2018_Table 62'!P$19/'AEO 2018_Table 62'!$C$19)</f>
        <v>0.5623193411412104</v>
      </c>
      <c r="Q157" s="195">
        <f>IF(P157="","",$B157*'AEO 2018_Table 62'!Q$19/'AEO 2018_Table 62'!$C$19)</f>
        <v>0.5623193411412104</v>
      </c>
      <c r="R157" s="195">
        <f>IF(Q157="","",$B157*'AEO 2018_Table 62'!R$19/'AEO 2018_Table 62'!$C$19)</f>
        <v>0.5623193411412104</v>
      </c>
      <c r="S157" s="195">
        <f>IF(R157="","",$B157*'AEO 2018_Table 62'!S$19/'AEO 2018_Table 62'!$C$19)</f>
        <v>0.5623193411412104</v>
      </c>
      <c r="T157" s="195">
        <f>IF(S157="","",$B157*'AEO 2018_Table 62'!T$19/'AEO 2018_Table 62'!$C$19)</f>
        <v>0.5623193411412104</v>
      </c>
      <c r="U157" s="195">
        <f>IF(T157="","",$B157*'AEO 2018_Table 62'!U$19/'AEO 2018_Table 62'!$C$19)</f>
        <v>0.5623193411412104</v>
      </c>
      <c r="V157" s="195">
        <f>IF(U157="","",$B157*'AEO 2018_Table 62'!V$19/'AEO 2018_Table 62'!$C$19)</f>
        <v>0.5623193411412104</v>
      </c>
      <c r="W157" s="195">
        <f>IF(V157="","",$B157*'AEO 2018_Table 62'!W$19/'AEO 2018_Table 62'!$C$19)</f>
        <v>0.5623193411412104</v>
      </c>
      <c r="X157" s="195">
        <f>IF(W157="","",$B157*'AEO 2018_Table 62'!X$19/'AEO 2018_Table 62'!$C$19)</f>
        <v>0.5623193411412104</v>
      </c>
      <c r="Y157" s="195">
        <f>IF(X157="","",$B157*'AEO 2018_Table 62'!Y$19/'AEO 2018_Table 62'!$C$19)</f>
        <v>0.5623193411412104</v>
      </c>
      <c r="Z157" s="195">
        <f>IF(Y157="","",$B157*'AEO 2018_Table 62'!Z$19/'AEO 2018_Table 62'!$C$19)</f>
        <v>0.5623193411412104</v>
      </c>
      <c r="AA157" s="195">
        <f>IF(Z157="","",$B157*'AEO 2018_Table 62'!AA$19/'AEO 2018_Table 62'!$C$19)</f>
        <v>0.5623193411412104</v>
      </c>
      <c r="AB157" s="195">
        <f>IF(AA157="","",$B157*'AEO 2018_Table 62'!AB$19/'AEO 2018_Table 62'!$C$19)</f>
        <v>0.5623193411412104</v>
      </c>
      <c r="AC157" s="195">
        <f>IF(AB157="","",$B157*'AEO 2018_Table 62'!AC$19/'AEO 2018_Table 62'!$C$19)</f>
        <v>0.5623193411412104</v>
      </c>
      <c r="AD157" s="195">
        <f>IF(AC157="","",$B157*'AEO 2018_Table 62'!AD$19/'AEO 2018_Table 62'!$C$19)</f>
        <v>0.5623193411412104</v>
      </c>
      <c r="AE157" s="195">
        <f>IF(AD157="","",$B157*'AEO 2018_Table 62'!AE$19/'AEO 2018_Table 62'!$C$19)</f>
        <v>0.5623193411412104</v>
      </c>
      <c r="AF157" s="195">
        <f>IF(AE157="","",$B157*'AEO 2018_Table 62'!AF$19/'AEO 2018_Table 62'!$C$19)</f>
        <v>0.5623193411412104</v>
      </c>
      <c r="AG157" s="195">
        <f>IF(AF157="","",$B157*'AEO 2018_Table 62'!AG$19/'AEO 2018_Table 62'!$C$19)</f>
        <v>0.5623193411412104</v>
      </c>
      <c r="AH157" s="195">
        <f>IF(AG157="","",$B157*'AEO 2018_Table 62'!AH$19/'AEO 2018_Table 62'!$C$19)</f>
        <v>0.5623193411412104</v>
      </c>
      <c r="AI157" s="195">
        <f>IF(AH157="","",$B157*'AEO 2018_Table 62'!AI$19/'AEO 2018_Table 62'!$C$19)</f>
        <v>0.5623193411412104</v>
      </c>
      <c r="AJ157" s="195">
        <f>IF(AI157="","",$B157*'AEO 2018_Table 62'!AJ$19/'AEO 2018_Table 62'!$C$19)</f>
        <v>0.5623193411412104</v>
      </c>
      <c r="AK157" s="195">
        <f>IF(AJ157="","",$B157*'AEO 2018_Table 62'!AK$19/'AEO 2018_Table 62'!$C$19)</f>
        <v>0.5623193411412104</v>
      </c>
    </row>
    <row r="159" spans="1:37" x14ac:dyDescent="0.25">
      <c r="A159" s="55" t="s">
        <v>1346</v>
      </c>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row>
    <row r="160" spans="1:37" x14ac:dyDescent="0.25">
      <c r="A160" s="172" t="s">
        <v>1168</v>
      </c>
      <c r="B160" s="173">
        <v>2015</v>
      </c>
      <c r="C160" s="173">
        <v>2016</v>
      </c>
      <c r="D160" s="173">
        <v>2017</v>
      </c>
      <c r="E160" s="173">
        <v>2018</v>
      </c>
      <c r="F160" s="173">
        <v>2019</v>
      </c>
      <c r="G160" s="173">
        <v>2020</v>
      </c>
      <c r="H160" s="173">
        <v>2021</v>
      </c>
      <c r="I160" s="173">
        <v>2022</v>
      </c>
      <c r="J160" s="173">
        <v>2023</v>
      </c>
      <c r="K160" s="173">
        <v>2024</v>
      </c>
      <c r="L160" s="173">
        <v>2025</v>
      </c>
      <c r="M160" s="173">
        <v>2026</v>
      </c>
      <c r="N160" s="173">
        <v>2027</v>
      </c>
      <c r="O160" s="173">
        <v>2028</v>
      </c>
      <c r="P160" s="173">
        <v>2029</v>
      </c>
      <c r="Q160" s="173">
        <v>2030</v>
      </c>
      <c r="R160" s="173">
        <v>2031</v>
      </c>
      <c r="S160" s="173">
        <v>2032</v>
      </c>
      <c r="T160" s="173">
        <v>2033</v>
      </c>
      <c r="U160" s="173">
        <v>2034</v>
      </c>
      <c r="V160" s="173">
        <v>2035</v>
      </c>
      <c r="W160" s="173">
        <v>2036</v>
      </c>
      <c r="X160" s="173">
        <v>2037</v>
      </c>
      <c r="Y160" s="173">
        <v>2038</v>
      </c>
      <c r="Z160" s="173">
        <v>2039</v>
      </c>
      <c r="AA160" s="173">
        <v>2040</v>
      </c>
      <c r="AB160" s="173">
        <v>2041</v>
      </c>
      <c r="AC160" s="173">
        <v>2042</v>
      </c>
      <c r="AD160" s="173">
        <v>2043</v>
      </c>
      <c r="AE160" s="173">
        <v>2044</v>
      </c>
      <c r="AF160" s="173">
        <v>2045</v>
      </c>
      <c r="AG160" s="173">
        <v>2046</v>
      </c>
      <c r="AH160" s="173">
        <v>2047</v>
      </c>
      <c r="AI160" s="173">
        <v>2048</v>
      </c>
      <c r="AJ160" s="173">
        <v>2049</v>
      </c>
      <c r="AK160" s="173">
        <v>2050</v>
      </c>
    </row>
    <row r="161" spans="1:37" x14ac:dyDescent="0.25">
      <c r="A161" s="222" t="s">
        <v>1284</v>
      </c>
      <c r="B161" s="224"/>
      <c r="C161" s="224"/>
      <c r="D161" s="224"/>
      <c r="E161" s="224"/>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c r="AB161" s="224"/>
      <c r="AC161" s="224"/>
      <c r="AD161" s="224"/>
      <c r="AE161" s="224"/>
      <c r="AF161" s="224"/>
      <c r="AG161" s="224"/>
      <c r="AH161" s="224"/>
      <c r="AI161" s="224"/>
      <c r="AJ161" s="224"/>
      <c r="AK161" s="224"/>
    </row>
    <row r="162" spans="1:37" x14ac:dyDescent="0.25">
      <c r="A162" s="213" t="s">
        <v>1098</v>
      </c>
      <c r="B162" s="164">
        <f>SUM(B167:B174,B176:B185,B187:B188,B191:B192,B194)</f>
        <v>480.27188462354752</v>
      </c>
      <c r="C162" s="164">
        <f>SUM(C167:C174,C176:C185,C187:C188,C191:C192,C194)</f>
        <v>475.3101713163004</v>
      </c>
      <c r="D162" s="164">
        <f t="shared" ref="D162:AK162" si="18">SUM(D167:D174,D176:D185,D187:D188,D191:D192,D194)</f>
        <v>473.64928820084413</v>
      </c>
      <c r="E162" s="164">
        <f t="shared" si="18"/>
        <v>485.92741722841618</v>
      </c>
      <c r="F162" s="164">
        <f t="shared" si="18"/>
        <v>476.99557107108666</v>
      </c>
      <c r="G162" s="164">
        <f t="shared" si="18"/>
        <v>472.07746151322266</v>
      </c>
      <c r="H162" s="164">
        <f t="shared" si="18"/>
        <v>467.10199779759068</v>
      </c>
      <c r="I162" s="164">
        <f t="shared" si="18"/>
        <v>462.35188604275561</v>
      </c>
      <c r="J162" s="164">
        <f t="shared" si="18"/>
        <v>456.97937501354806</v>
      </c>
      <c r="K162" s="164">
        <f t="shared" si="18"/>
        <v>451.50217306121851</v>
      </c>
      <c r="L162" s="164">
        <f t="shared" si="18"/>
        <v>446.17378524389107</v>
      </c>
      <c r="M162" s="164">
        <f t="shared" si="18"/>
        <v>441.26409450706319</v>
      </c>
      <c r="N162" s="164">
        <f t="shared" si="18"/>
        <v>436.50146245789045</v>
      </c>
      <c r="O162" s="164">
        <f t="shared" si="18"/>
        <v>431.63493385841502</v>
      </c>
      <c r="P162" s="164">
        <f t="shared" si="18"/>
        <v>426.60600031731519</v>
      </c>
      <c r="Q162" s="164">
        <f t="shared" si="18"/>
        <v>421.60833454283051</v>
      </c>
      <c r="R162" s="164">
        <f t="shared" si="18"/>
        <v>416.71322318821967</v>
      </c>
      <c r="S162" s="164">
        <f t="shared" si="18"/>
        <v>411.66210142775009</v>
      </c>
      <c r="T162" s="164">
        <f t="shared" si="18"/>
        <v>406.61965782282726</v>
      </c>
      <c r="U162" s="164">
        <f t="shared" si="18"/>
        <v>401.56555812397647</v>
      </c>
      <c r="V162" s="164">
        <f t="shared" si="18"/>
        <v>398.90386685972391</v>
      </c>
      <c r="W162" s="164">
        <f t="shared" si="18"/>
        <v>396.42418837438856</v>
      </c>
      <c r="X162" s="164">
        <f t="shared" si="18"/>
        <v>393.90937135739534</v>
      </c>
      <c r="Y162" s="164">
        <f t="shared" si="18"/>
        <v>391.6446178190933</v>
      </c>
      <c r="Z162" s="164">
        <f t="shared" si="18"/>
        <v>390.54466446592528</v>
      </c>
      <c r="AA162" s="164">
        <f t="shared" si="18"/>
        <v>389.53373011709039</v>
      </c>
      <c r="AB162" s="164">
        <f t="shared" si="18"/>
        <v>388.49160121733735</v>
      </c>
      <c r="AC162" s="164">
        <f t="shared" si="18"/>
        <v>388.7986148030771</v>
      </c>
      <c r="AD162" s="164">
        <f t="shared" si="18"/>
        <v>389.70108227476078</v>
      </c>
      <c r="AE162" s="164">
        <f t="shared" si="18"/>
        <v>390.76699553544535</v>
      </c>
      <c r="AF162" s="164">
        <f t="shared" si="18"/>
        <v>391.69920041202533</v>
      </c>
      <c r="AG162" s="164">
        <f t="shared" si="18"/>
        <v>392.65907676194911</v>
      </c>
      <c r="AH162" s="164">
        <f t="shared" si="18"/>
        <v>393.69331104532819</v>
      </c>
      <c r="AI162" s="164">
        <f t="shared" si="18"/>
        <v>394.78553322384607</v>
      </c>
      <c r="AJ162" s="164">
        <f t="shared" si="18"/>
        <v>395.93821566134324</v>
      </c>
      <c r="AK162" s="164">
        <f t="shared" si="18"/>
        <v>321.14065022361467</v>
      </c>
    </row>
    <row r="163" spans="1:37" x14ac:dyDescent="0.25">
      <c r="A163" s="212" t="s">
        <v>1170</v>
      </c>
      <c r="B163" s="182">
        <v>41.216592600000006</v>
      </c>
      <c r="C163" s="182">
        <f>$B$163/$B$162*C162</f>
        <v>40.790781882091544</v>
      </c>
      <c r="D163" s="182">
        <f t="shared" ref="D163:AK163" si="19">$B$163/$B$162*D162</f>
        <v>40.648246070777837</v>
      </c>
      <c r="E163" s="182">
        <f t="shared" si="19"/>
        <v>41.701946398075449</v>
      </c>
      <c r="F163" s="182">
        <f t="shared" si="19"/>
        <v>40.935421694008944</v>
      </c>
      <c r="G163" s="182">
        <f t="shared" si="19"/>
        <v>40.513353018955158</v>
      </c>
      <c r="H163" s="182">
        <f t="shared" si="19"/>
        <v>40.086362250748877</v>
      </c>
      <c r="I163" s="182">
        <f t="shared" si="19"/>
        <v>39.678711028031621</v>
      </c>
      <c r="J163" s="182">
        <f t="shared" si="19"/>
        <v>39.217645940902024</v>
      </c>
      <c r="K163" s="182">
        <f t="shared" si="19"/>
        <v>38.747596352981539</v>
      </c>
      <c r="L163" s="182">
        <f t="shared" si="19"/>
        <v>38.290317888609778</v>
      </c>
      <c r="M163" s="182">
        <f t="shared" si="19"/>
        <v>37.868971710807912</v>
      </c>
      <c r="N163" s="182">
        <f t="shared" si="19"/>
        <v>37.460246005308164</v>
      </c>
      <c r="O163" s="182">
        <f t="shared" si="19"/>
        <v>37.04260397152963</v>
      </c>
      <c r="P163" s="182">
        <f t="shared" si="19"/>
        <v>36.611024460814662</v>
      </c>
      <c r="Q163" s="182">
        <f t="shared" si="19"/>
        <v>36.182128327660088</v>
      </c>
      <c r="R163" s="182">
        <f t="shared" si="19"/>
        <v>35.762033342102534</v>
      </c>
      <c r="S163" s="182">
        <f t="shared" si="19"/>
        <v>35.32854965413388</v>
      </c>
      <c r="T163" s="182">
        <f t="shared" si="19"/>
        <v>34.895810719320977</v>
      </c>
      <c r="U163" s="182">
        <f t="shared" si="19"/>
        <v>34.462071466791969</v>
      </c>
      <c r="V163" s="182">
        <f t="shared" si="19"/>
        <v>34.233647009774941</v>
      </c>
      <c r="W163" s="182">
        <f t="shared" si="19"/>
        <v>34.020842760387822</v>
      </c>
      <c r="X163" s="182">
        <f t="shared" si="19"/>
        <v>33.805022947128919</v>
      </c>
      <c r="Y163" s="182">
        <f t="shared" si="19"/>
        <v>33.61066340430294</v>
      </c>
      <c r="Z163" s="182">
        <f t="shared" si="19"/>
        <v>33.516266187459678</v>
      </c>
      <c r="AA163" s="182">
        <f t="shared" si="19"/>
        <v>33.429508518449062</v>
      </c>
      <c r="AB163" s="182">
        <f t="shared" si="19"/>
        <v>33.340073755197253</v>
      </c>
      <c r="AC163" s="182">
        <f t="shared" si="19"/>
        <v>33.366421443436423</v>
      </c>
      <c r="AD163" s="182">
        <f t="shared" si="19"/>
        <v>33.443870561958725</v>
      </c>
      <c r="AE163" s="182">
        <f t="shared" si="19"/>
        <v>33.535346482201298</v>
      </c>
      <c r="AF163" s="182">
        <f t="shared" si="19"/>
        <v>33.615347643726395</v>
      </c>
      <c r="AG163" s="182">
        <f t="shared" si="19"/>
        <v>33.697723551473302</v>
      </c>
      <c r="AH163" s="182">
        <f t="shared" si="19"/>
        <v>33.786480804345601</v>
      </c>
      <c r="AI163" s="182">
        <f t="shared" si="19"/>
        <v>33.880214537262205</v>
      </c>
      <c r="AJ163" s="182">
        <f t="shared" si="19"/>
        <v>33.97913692673486</v>
      </c>
      <c r="AK163" s="182">
        <f t="shared" si="19"/>
        <v>27.560062896333982</v>
      </c>
    </row>
    <row r="164" spans="1:37" x14ac:dyDescent="0.25">
      <c r="A164" s="254" t="s">
        <v>1172</v>
      </c>
      <c r="B164" s="249">
        <f>B162-B163</f>
        <v>439.05529202354751</v>
      </c>
      <c r="C164" s="249">
        <f>C162-C163</f>
        <v>434.51938943420885</v>
      </c>
      <c r="D164" s="249">
        <f t="shared" ref="D164:AK164" si="20">D162-D163</f>
        <v>433.00104213006631</v>
      </c>
      <c r="E164" s="249">
        <f t="shared" si="20"/>
        <v>444.22547083034073</v>
      </c>
      <c r="F164" s="249">
        <f t="shared" si="20"/>
        <v>436.06014937707772</v>
      </c>
      <c r="G164" s="249">
        <f t="shared" si="20"/>
        <v>431.56410849426749</v>
      </c>
      <c r="H164" s="249">
        <f t="shared" si="20"/>
        <v>427.01563554684179</v>
      </c>
      <c r="I164" s="249">
        <f t="shared" si="20"/>
        <v>422.67317501472399</v>
      </c>
      <c r="J164" s="249">
        <f t="shared" si="20"/>
        <v>417.76172907264606</v>
      </c>
      <c r="K164" s="249">
        <f t="shared" si="20"/>
        <v>412.75457670823698</v>
      </c>
      <c r="L164" s="249">
        <f t="shared" si="20"/>
        <v>407.88346735528131</v>
      </c>
      <c r="M164" s="249">
        <f t="shared" si="20"/>
        <v>403.39512279625529</v>
      </c>
      <c r="N164" s="249">
        <f t="shared" si="20"/>
        <v>399.04121645258226</v>
      </c>
      <c r="O164" s="249">
        <f t="shared" si="20"/>
        <v>394.59232988688541</v>
      </c>
      <c r="P164" s="249">
        <f t="shared" si="20"/>
        <v>389.99497585650056</v>
      </c>
      <c r="Q164" s="249">
        <f t="shared" si="20"/>
        <v>385.4262062151704</v>
      </c>
      <c r="R164" s="249">
        <f t="shared" si="20"/>
        <v>380.95118984611713</v>
      </c>
      <c r="S164" s="249">
        <f t="shared" si="20"/>
        <v>376.33355177361619</v>
      </c>
      <c r="T164" s="249">
        <f t="shared" si="20"/>
        <v>371.72384710350627</v>
      </c>
      <c r="U164" s="249">
        <f t="shared" si="20"/>
        <v>367.10348665718448</v>
      </c>
      <c r="V164" s="249">
        <f t="shared" si="20"/>
        <v>364.67021984994898</v>
      </c>
      <c r="W164" s="249">
        <f t="shared" si="20"/>
        <v>362.40334561400073</v>
      </c>
      <c r="X164" s="249">
        <f t="shared" si="20"/>
        <v>360.10434841026643</v>
      </c>
      <c r="Y164" s="249">
        <f t="shared" si="20"/>
        <v>358.03395441479034</v>
      </c>
      <c r="Z164" s="249">
        <f t="shared" si="20"/>
        <v>357.0283982784656</v>
      </c>
      <c r="AA164" s="249">
        <f t="shared" si="20"/>
        <v>356.10422159864135</v>
      </c>
      <c r="AB164" s="249">
        <f t="shared" si="20"/>
        <v>355.15152746214011</v>
      </c>
      <c r="AC164" s="249">
        <f t="shared" si="20"/>
        <v>355.43219335964068</v>
      </c>
      <c r="AD164" s="249">
        <f t="shared" si="20"/>
        <v>356.25721171280207</v>
      </c>
      <c r="AE164" s="249">
        <f t="shared" si="20"/>
        <v>357.23164905324404</v>
      </c>
      <c r="AF164" s="249">
        <f t="shared" si="20"/>
        <v>358.08385276829893</v>
      </c>
      <c r="AG164" s="249">
        <f t="shared" si="20"/>
        <v>358.96135321047581</v>
      </c>
      <c r="AH164" s="249">
        <f t="shared" si="20"/>
        <v>359.90683024098257</v>
      </c>
      <c r="AI164" s="249">
        <f t="shared" si="20"/>
        <v>360.90531868658388</v>
      </c>
      <c r="AJ164" s="249">
        <f t="shared" si="20"/>
        <v>361.9590787346084</v>
      </c>
      <c r="AK164" s="249">
        <f t="shared" si="20"/>
        <v>293.58058732728068</v>
      </c>
    </row>
    <row r="165" spans="1:37" x14ac:dyDescent="0.25">
      <c r="A165" s="186" t="s">
        <v>1173</v>
      </c>
      <c r="B165" s="188"/>
      <c r="C165" s="188" t="str">
        <f>IF(B165="","",$B165*'AEO 2018_Table 13'!C$36/'AEO 2018_Table 13'!$C$36)</f>
        <v/>
      </c>
      <c r="D165" s="188" t="str">
        <f>IF(C165="","",$B165*'AEO 2018_Table 13'!D$36/'AEO 2018_Table 13'!$C$36)</f>
        <v/>
      </c>
      <c r="E165" s="188" t="str">
        <f>IF(D165="","",$B165*'AEO 2018_Table 13'!E$36/'AEO 2018_Table 13'!$C$36)</f>
        <v/>
      </c>
      <c r="F165" s="188" t="str">
        <f>IF(E165="","",$B165*'AEO 2018_Table 13'!F$36/'AEO 2018_Table 13'!$C$36)</f>
        <v/>
      </c>
      <c r="G165" s="188" t="str">
        <f>IF(F165="","",$B165*'AEO 2018_Table 13'!G$36/'AEO 2018_Table 13'!$C$36)</f>
        <v/>
      </c>
      <c r="H165" s="188" t="str">
        <f>IF(G165="","",$B165*'AEO 2018_Table 13'!H$36/'AEO 2018_Table 13'!$C$36)</f>
        <v/>
      </c>
      <c r="I165" s="188" t="str">
        <f>IF(H165="","",$B165*'AEO 2018_Table 13'!I$36/'AEO 2018_Table 13'!$C$36)</f>
        <v/>
      </c>
      <c r="J165" s="188" t="str">
        <f>IF(I165="","",$B165*'AEO 2018_Table 13'!J$36/'AEO 2018_Table 13'!$C$36)</f>
        <v/>
      </c>
      <c r="K165" s="188" t="str">
        <f>IF(J165="","",$B165*'AEO 2018_Table 13'!K$36/'AEO 2018_Table 13'!$C$36)</f>
        <v/>
      </c>
      <c r="L165" s="188" t="str">
        <f>IF(K165="","",$B165*'AEO 2018_Table 13'!L$36/'AEO 2018_Table 13'!$C$36)</f>
        <v/>
      </c>
      <c r="M165" s="188" t="str">
        <f>IF(L165="","",$B165*'AEO 2018_Table 13'!M$36/'AEO 2018_Table 13'!$C$36)</f>
        <v/>
      </c>
      <c r="N165" s="188" t="str">
        <f>IF(M165="","",$B165*'AEO 2018_Table 13'!N$36/'AEO 2018_Table 13'!$C$36)</f>
        <v/>
      </c>
      <c r="O165" s="188" t="str">
        <f>IF(N165="","",$B165*'AEO 2018_Table 13'!O$36/'AEO 2018_Table 13'!$C$36)</f>
        <v/>
      </c>
      <c r="P165" s="188" t="str">
        <f>IF(O165="","",$B165*'AEO 2018_Table 13'!P$36/'AEO 2018_Table 13'!$C$36)</f>
        <v/>
      </c>
      <c r="Q165" s="188" t="str">
        <f>IF(P165="","",$B165*'AEO 2018_Table 13'!Q$36/'AEO 2018_Table 13'!$C$36)</f>
        <v/>
      </c>
      <c r="R165" s="188" t="str">
        <f>IF(Q165="","",$B165*'AEO 2018_Table 13'!R$36/'AEO 2018_Table 13'!$C$36)</f>
        <v/>
      </c>
      <c r="S165" s="188" t="str">
        <f>IF(R165="","",$B165*'AEO 2018_Table 13'!S$36/'AEO 2018_Table 13'!$C$36)</f>
        <v/>
      </c>
      <c r="T165" s="188" t="str">
        <f>IF(S165="","",$B165*'AEO 2018_Table 13'!T$36/'AEO 2018_Table 13'!$C$36)</f>
        <v/>
      </c>
      <c r="U165" s="188" t="str">
        <f>IF(T165="","",$B165*'AEO 2018_Table 13'!U$36/'AEO 2018_Table 13'!$C$36)</f>
        <v/>
      </c>
      <c r="V165" s="188" t="str">
        <f>IF(U165="","",$B165*'AEO 2018_Table 13'!V$36/'AEO 2018_Table 13'!$C$36)</f>
        <v/>
      </c>
      <c r="W165" s="188" t="str">
        <f>IF(V165="","",$B165*'AEO 2018_Table 13'!W$36/'AEO 2018_Table 13'!$C$36)</f>
        <v/>
      </c>
      <c r="X165" s="188" t="str">
        <f>IF(W165="","",$B165*'AEO 2018_Table 13'!X$36/'AEO 2018_Table 13'!$C$36)</f>
        <v/>
      </c>
      <c r="Y165" s="188" t="str">
        <f>IF(X165="","",$B165*'AEO 2018_Table 13'!Y$36/'AEO 2018_Table 13'!$C$36)</f>
        <v/>
      </c>
      <c r="Z165" s="188" t="str">
        <f>IF(Y165="","",$B165*'AEO 2018_Table 13'!Z$36/'AEO 2018_Table 13'!$C$36)</f>
        <v/>
      </c>
      <c r="AA165" s="188" t="str">
        <f>IF(Z165="","",$B165*'AEO 2018_Table 13'!AA$36/'AEO 2018_Table 13'!$C$36)</f>
        <v/>
      </c>
      <c r="AB165" s="188" t="str">
        <f>IF(AA165="","",$B165*'AEO 2018_Table 13'!AB$36/'AEO 2018_Table 13'!$C$36)</f>
        <v/>
      </c>
      <c r="AC165" s="188" t="str">
        <f>IF(AB165="","",$B165*'AEO 2018_Table 13'!AC$36/'AEO 2018_Table 13'!$C$36)</f>
        <v/>
      </c>
      <c r="AD165" s="188" t="str">
        <f>IF(AC165="","",$B165*'AEO 2018_Table 13'!AD$36/'AEO 2018_Table 13'!$C$36)</f>
        <v/>
      </c>
      <c r="AE165" s="188" t="str">
        <f>IF(AD165="","",$B165*'AEO 2018_Table 13'!AE$36/'AEO 2018_Table 13'!$C$36)</f>
        <v/>
      </c>
      <c r="AF165" s="188" t="str">
        <f>IF(AE165="","",$B165*'AEO 2018_Table 13'!AF$36/'AEO 2018_Table 13'!$C$36)</f>
        <v/>
      </c>
      <c r="AG165" s="188" t="str">
        <f>IF(AF165="","",$B165*'AEO 2018_Table 13'!AG$36/'AEO 2018_Table 13'!$C$36)</f>
        <v/>
      </c>
      <c r="AH165" s="188" t="str">
        <f>IF(AG165="","",$B165*'AEO 2018_Table 13'!AH$36/'AEO 2018_Table 13'!$C$36)</f>
        <v/>
      </c>
      <c r="AI165" s="188" t="str">
        <f>IF(AH165="","",$B165*'AEO 2018_Table 13'!AI$36/'AEO 2018_Table 13'!$C$36)</f>
        <v/>
      </c>
      <c r="AJ165" s="188" t="str">
        <f>IF(AI165="","",$B165*'AEO 2018_Table 13'!AJ$36/'AEO 2018_Table 13'!$C$36)</f>
        <v/>
      </c>
      <c r="AK165" s="188" t="str">
        <f>IF(AJ165="","",$B165*'AEO 2018_Table 13'!AK$36/'AEO 2018_Table 13'!$C$36)</f>
        <v/>
      </c>
    </row>
    <row r="166" spans="1:37" x14ac:dyDescent="0.25">
      <c r="A166" s="207" t="s">
        <v>1185</v>
      </c>
      <c r="B166" s="191"/>
      <c r="C166" s="191" t="str">
        <f>IF(B166="","",$B166*'AEO 2018_Table 13'!C$36/'AEO 2018_Table 13'!$C$36)</f>
        <v/>
      </c>
      <c r="D166" s="191" t="str">
        <f>IF(C166="","",$B166*'AEO 2018_Table 13'!D$36/'AEO 2018_Table 13'!$C$36)</f>
        <v/>
      </c>
      <c r="E166" s="191" t="str">
        <f>IF(D166="","",$B166*'AEO 2018_Table 13'!E$36/'AEO 2018_Table 13'!$C$36)</f>
        <v/>
      </c>
      <c r="F166" s="191" t="str">
        <f>IF(E166="","",$B166*'AEO 2018_Table 13'!F$36/'AEO 2018_Table 13'!$C$36)</f>
        <v/>
      </c>
      <c r="G166" s="191" t="str">
        <f>IF(F166="","",$B166*'AEO 2018_Table 13'!G$36/'AEO 2018_Table 13'!$C$36)</f>
        <v/>
      </c>
      <c r="H166" s="191" t="str">
        <f>IF(G166="","",$B166*'AEO 2018_Table 13'!H$36/'AEO 2018_Table 13'!$C$36)</f>
        <v/>
      </c>
      <c r="I166" s="191" t="str">
        <f>IF(H166="","",$B166*'AEO 2018_Table 13'!I$36/'AEO 2018_Table 13'!$C$36)</f>
        <v/>
      </c>
      <c r="J166" s="191" t="str">
        <f>IF(I166="","",$B166*'AEO 2018_Table 13'!J$36/'AEO 2018_Table 13'!$C$36)</f>
        <v/>
      </c>
      <c r="K166" s="191" t="str">
        <f>IF(J166="","",$B166*'AEO 2018_Table 13'!K$36/'AEO 2018_Table 13'!$C$36)</f>
        <v/>
      </c>
      <c r="L166" s="191" t="str">
        <f>IF(K166="","",$B166*'AEO 2018_Table 13'!L$36/'AEO 2018_Table 13'!$C$36)</f>
        <v/>
      </c>
      <c r="M166" s="191" t="str">
        <f>IF(L166="","",$B166*'AEO 2018_Table 13'!M$36/'AEO 2018_Table 13'!$C$36)</f>
        <v/>
      </c>
      <c r="N166" s="191" t="str">
        <f>IF(M166="","",$B166*'AEO 2018_Table 13'!N$36/'AEO 2018_Table 13'!$C$36)</f>
        <v/>
      </c>
      <c r="O166" s="191" t="str">
        <f>IF(N166="","",$B166*'AEO 2018_Table 13'!O$36/'AEO 2018_Table 13'!$C$36)</f>
        <v/>
      </c>
      <c r="P166" s="191" t="str">
        <f>IF(O166="","",$B166*'AEO 2018_Table 13'!P$36/'AEO 2018_Table 13'!$C$36)</f>
        <v/>
      </c>
      <c r="Q166" s="191" t="str">
        <f>IF(P166="","",$B166*'AEO 2018_Table 13'!Q$36/'AEO 2018_Table 13'!$C$36)</f>
        <v/>
      </c>
      <c r="R166" s="191" t="str">
        <f>IF(Q166="","",$B166*'AEO 2018_Table 13'!R$36/'AEO 2018_Table 13'!$C$36)</f>
        <v/>
      </c>
      <c r="S166" s="191" t="str">
        <f>IF(R166="","",$B166*'AEO 2018_Table 13'!S$36/'AEO 2018_Table 13'!$C$36)</f>
        <v/>
      </c>
      <c r="T166" s="191" t="str">
        <f>IF(S166="","",$B166*'AEO 2018_Table 13'!T$36/'AEO 2018_Table 13'!$C$36)</f>
        <v/>
      </c>
      <c r="U166" s="191" t="str">
        <f>IF(T166="","",$B166*'AEO 2018_Table 13'!U$36/'AEO 2018_Table 13'!$C$36)</f>
        <v/>
      </c>
      <c r="V166" s="191" t="str">
        <f>IF(U166="","",$B166*'AEO 2018_Table 13'!V$36/'AEO 2018_Table 13'!$C$36)</f>
        <v/>
      </c>
      <c r="W166" s="191" t="str">
        <f>IF(V166="","",$B166*'AEO 2018_Table 13'!W$36/'AEO 2018_Table 13'!$C$36)</f>
        <v/>
      </c>
      <c r="X166" s="191" t="str">
        <f>IF(W166="","",$B166*'AEO 2018_Table 13'!X$36/'AEO 2018_Table 13'!$C$36)</f>
        <v/>
      </c>
      <c r="Y166" s="191" t="str">
        <f>IF(X166="","",$B166*'AEO 2018_Table 13'!Y$36/'AEO 2018_Table 13'!$C$36)</f>
        <v/>
      </c>
      <c r="Z166" s="191" t="str">
        <f>IF(Y166="","",$B166*'AEO 2018_Table 13'!Z$36/'AEO 2018_Table 13'!$C$36)</f>
        <v/>
      </c>
      <c r="AA166" s="191" t="str">
        <f>IF(Z166="","",$B166*'AEO 2018_Table 13'!AA$36/'AEO 2018_Table 13'!$C$36)</f>
        <v/>
      </c>
      <c r="AB166" s="191" t="str">
        <f>IF(AA166="","",$B166*'AEO 2018_Table 13'!AB$36/'AEO 2018_Table 13'!$C$36)</f>
        <v/>
      </c>
      <c r="AC166" s="191" t="str">
        <f>IF(AB166="","",$B166*'AEO 2018_Table 13'!AC$36/'AEO 2018_Table 13'!$C$36)</f>
        <v/>
      </c>
      <c r="AD166" s="191" t="str">
        <f>IF(AC166="","",$B166*'AEO 2018_Table 13'!AD$36/'AEO 2018_Table 13'!$C$36)</f>
        <v/>
      </c>
      <c r="AE166" s="191" t="str">
        <f>IF(AD166="","",$B166*'AEO 2018_Table 13'!AE$36/'AEO 2018_Table 13'!$C$36)</f>
        <v/>
      </c>
      <c r="AF166" s="191" t="str">
        <f>IF(AE166="","",$B166*'AEO 2018_Table 13'!AF$36/'AEO 2018_Table 13'!$C$36)</f>
        <v/>
      </c>
      <c r="AG166" s="191" t="str">
        <f>IF(AF166="","",$B166*'AEO 2018_Table 13'!AG$36/'AEO 2018_Table 13'!$C$36)</f>
        <v/>
      </c>
      <c r="AH166" s="191" t="str">
        <f>IF(AG166="","",$B166*'AEO 2018_Table 13'!AH$36/'AEO 2018_Table 13'!$C$36)</f>
        <v/>
      </c>
      <c r="AI166" s="191" t="str">
        <f>IF(AH166="","",$B166*'AEO 2018_Table 13'!AI$36/'AEO 2018_Table 13'!$C$36)</f>
        <v/>
      </c>
      <c r="AJ166" s="191" t="str">
        <f>IF(AI166="","",$B166*'AEO 2018_Table 13'!AJ$36/'AEO 2018_Table 13'!$C$36)</f>
        <v/>
      </c>
      <c r="AK166" s="191" t="str">
        <f>IF(AJ166="","",$B166*'AEO 2018_Table 13'!AK$36/'AEO 2018_Table 13'!$C$36)</f>
        <v/>
      </c>
    </row>
    <row r="167" spans="1:37" x14ac:dyDescent="0.25">
      <c r="A167" s="213" t="s">
        <v>1285</v>
      </c>
      <c r="B167" s="193">
        <v>32.137337049770942</v>
      </c>
      <c r="C167" s="324">
        <f>MAX(0,(('EPA (2017) Table A3.6-7'!$AB138-'EPA (2017) Table A3.6-7'!$C138)/COUNT('EPA (2017) Table A3.6-7'!$D$6:$AB$6)*(C$160-$B$160)+'EPA (2017) Table A3.6-7'!$AB138)/'EPA (2017) Table A3.6-7'!$AB138)*$B167</f>
        <v>30.724451487749896</v>
      </c>
      <c r="D167" s="324">
        <f>MAX(0,(('EPA (2017) Table A3.6-7'!$AB138-'EPA (2017) Table A3.6-7'!$C138)/COUNT('EPA (2017) Table A3.6-7'!$D$6:$AB$6)*(D$160-$B$160)+'EPA (2017) Table A3.6-7'!$AB138)/'EPA (2017) Table A3.6-7'!$AB138)*$B167</f>
        <v>29.311565925728853</v>
      </c>
      <c r="E167" s="324">
        <f>MAX(0,(('EPA (2017) Table A3.6-7'!$AB138-'EPA (2017) Table A3.6-7'!$C138)/COUNT('EPA (2017) Table A3.6-7'!$D$6:$AB$6)*(E$160-$B$160)+'EPA (2017) Table A3.6-7'!$AB138)/'EPA (2017) Table A3.6-7'!$AB138)*$B167</f>
        <v>27.898680363707815</v>
      </c>
      <c r="F167" s="324">
        <f>MAX(0,(('EPA (2017) Table A3.6-7'!$AB138-'EPA (2017) Table A3.6-7'!$C138)/COUNT('EPA (2017) Table A3.6-7'!$D$6:$AB$6)*(F$160-$B$160)+'EPA (2017) Table A3.6-7'!$AB138)/'EPA (2017) Table A3.6-7'!$AB138)*$B167</f>
        <v>26.485794801686772</v>
      </c>
      <c r="G167" s="324">
        <f>MAX(0,(('EPA (2017) Table A3.6-7'!$AB138-'EPA (2017) Table A3.6-7'!$C138)/COUNT('EPA (2017) Table A3.6-7'!$D$6:$AB$6)*(G$160-$B$160)+'EPA (2017) Table A3.6-7'!$AB138)/'EPA (2017) Table A3.6-7'!$AB138)*$B167</f>
        <v>25.072909239665726</v>
      </c>
      <c r="H167" s="324">
        <f>MAX(0,(('EPA (2017) Table A3.6-7'!$AB138-'EPA (2017) Table A3.6-7'!$C138)/COUNT('EPA (2017) Table A3.6-7'!$D$6:$AB$6)*(H$160-$B$160)+'EPA (2017) Table A3.6-7'!$AB138)/'EPA (2017) Table A3.6-7'!$AB138)*$B167</f>
        <v>23.660023677644691</v>
      </c>
      <c r="I167" s="324">
        <f>MAX(0,(('EPA (2017) Table A3.6-7'!$AB138-'EPA (2017) Table A3.6-7'!$C138)/COUNT('EPA (2017) Table A3.6-7'!$D$6:$AB$6)*(I$160-$B$160)+'EPA (2017) Table A3.6-7'!$AB138)/'EPA (2017) Table A3.6-7'!$AB138)*$B167</f>
        <v>22.247138115623645</v>
      </c>
      <c r="J167" s="324">
        <f>MAX(0,(('EPA (2017) Table A3.6-7'!$AB138-'EPA (2017) Table A3.6-7'!$C138)/COUNT('EPA (2017) Table A3.6-7'!$D$6:$AB$6)*(J$160-$B$160)+'EPA (2017) Table A3.6-7'!$AB138)/'EPA (2017) Table A3.6-7'!$AB138)*$B167</f>
        <v>20.8342525536026</v>
      </c>
      <c r="K167" s="324">
        <f>MAX(0,(('EPA (2017) Table A3.6-7'!$AB138-'EPA (2017) Table A3.6-7'!$C138)/COUNT('EPA (2017) Table A3.6-7'!$D$6:$AB$6)*(K$160-$B$160)+'EPA (2017) Table A3.6-7'!$AB138)/'EPA (2017) Table A3.6-7'!$AB138)*$B167</f>
        <v>19.421366991581557</v>
      </c>
      <c r="L167" s="324">
        <f>MAX(0,(('EPA (2017) Table A3.6-7'!$AB138-'EPA (2017) Table A3.6-7'!$C138)/COUNT('EPA (2017) Table A3.6-7'!$D$6:$AB$6)*(L$160-$B$160)+'EPA (2017) Table A3.6-7'!$AB138)/'EPA (2017) Table A3.6-7'!$AB138)*$B167</f>
        <v>18.008481429560515</v>
      </c>
      <c r="M167" s="324">
        <f>MAX(0,(('EPA (2017) Table A3.6-7'!$AB138-'EPA (2017) Table A3.6-7'!$C138)/COUNT('EPA (2017) Table A3.6-7'!$D$6:$AB$6)*(M$160-$B$160)+'EPA (2017) Table A3.6-7'!$AB138)/'EPA (2017) Table A3.6-7'!$AB138)*$B167</f>
        <v>16.595595867539476</v>
      </c>
      <c r="N167" s="324">
        <f>MAX(0,(('EPA (2017) Table A3.6-7'!$AB138-'EPA (2017) Table A3.6-7'!$C138)/COUNT('EPA (2017) Table A3.6-7'!$D$6:$AB$6)*(N$160-$B$160)+'EPA (2017) Table A3.6-7'!$AB138)/'EPA (2017) Table A3.6-7'!$AB138)*$B167</f>
        <v>15.18271030551843</v>
      </c>
      <c r="O167" s="324">
        <f>MAX(0,(('EPA (2017) Table A3.6-7'!$AB138-'EPA (2017) Table A3.6-7'!$C138)/COUNT('EPA (2017) Table A3.6-7'!$D$6:$AB$6)*(O$160-$B$160)+'EPA (2017) Table A3.6-7'!$AB138)/'EPA (2017) Table A3.6-7'!$AB138)*$B167</f>
        <v>13.769824743497388</v>
      </c>
      <c r="P167" s="324">
        <f>MAX(0,(('EPA (2017) Table A3.6-7'!$AB138-'EPA (2017) Table A3.6-7'!$C138)/COUNT('EPA (2017) Table A3.6-7'!$D$6:$AB$6)*(P$160-$B$160)+'EPA (2017) Table A3.6-7'!$AB138)/'EPA (2017) Table A3.6-7'!$AB138)*$B167</f>
        <v>12.356939181476349</v>
      </c>
      <c r="Q167" s="324">
        <f>MAX(0,(('EPA (2017) Table A3.6-7'!$AB138-'EPA (2017) Table A3.6-7'!$C138)/COUNT('EPA (2017) Table A3.6-7'!$D$6:$AB$6)*(Q$160-$B$160)+'EPA (2017) Table A3.6-7'!$AB138)/'EPA (2017) Table A3.6-7'!$AB138)*$B167</f>
        <v>10.944053619455305</v>
      </c>
      <c r="R167" s="324">
        <f>MAX(0,(('EPA (2017) Table A3.6-7'!$AB138-'EPA (2017) Table A3.6-7'!$C138)/COUNT('EPA (2017) Table A3.6-7'!$D$6:$AB$6)*(R$160-$B$160)+'EPA (2017) Table A3.6-7'!$AB138)/'EPA (2017) Table A3.6-7'!$AB138)*$B167</f>
        <v>9.5311680574342628</v>
      </c>
      <c r="S167" s="324">
        <f>MAX(0,(('EPA (2017) Table A3.6-7'!$AB138-'EPA (2017) Table A3.6-7'!$C138)/COUNT('EPA (2017) Table A3.6-7'!$D$6:$AB$6)*(S$160-$B$160)+'EPA (2017) Table A3.6-7'!$AB138)/'EPA (2017) Table A3.6-7'!$AB138)*$B167</f>
        <v>8.1182824954132169</v>
      </c>
      <c r="T167" s="324">
        <f>MAX(0,(('EPA (2017) Table A3.6-7'!$AB138-'EPA (2017) Table A3.6-7'!$C138)/COUNT('EPA (2017) Table A3.6-7'!$D$6:$AB$6)*(T$160-$B$160)+'EPA (2017) Table A3.6-7'!$AB138)/'EPA (2017) Table A3.6-7'!$AB138)*$B167</f>
        <v>6.7053969333921746</v>
      </c>
      <c r="U167" s="324">
        <f>MAX(0,(('EPA (2017) Table A3.6-7'!$AB138-'EPA (2017) Table A3.6-7'!$C138)/COUNT('EPA (2017) Table A3.6-7'!$D$6:$AB$6)*(U$160-$B$160)+'EPA (2017) Table A3.6-7'!$AB138)/'EPA (2017) Table A3.6-7'!$AB138)*$B167</f>
        <v>5.2925113713711349</v>
      </c>
      <c r="V167" s="324">
        <f>MAX(0,(('EPA (2017) Table A3.6-7'!$AB138-'EPA (2017) Table A3.6-7'!$C138)/COUNT('EPA (2017) Table A3.6-7'!$D$6:$AB$6)*(V$160-$B$160)+'EPA (2017) Table A3.6-7'!$AB138)/'EPA (2017) Table A3.6-7'!$AB138)*$B167</f>
        <v>3.8796258093500913</v>
      </c>
      <c r="W167" s="324">
        <f>MAX(0,(('EPA (2017) Table A3.6-7'!$AB138-'EPA (2017) Table A3.6-7'!$C138)/COUNT('EPA (2017) Table A3.6-7'!$D$6:$AB$6)*(W$160-$B$160)+'EPA (2017) Table A3.6-7'!$AB138)/'EPA (2017) Table A3.6-7'!$AB138)*$B167</f>
        <v>2.4667402473290476</v>
      </c>
      <c r="X167" s="324">
        <f>MAX(0,(('EPA (2017) Table A3.6-7'!$AB138-'EPA (2017) Table A3.6-7'!$C138)/COUNT('EPA (2017) Table A3.6-7'!$D$6:$AB$6)*(X$160-$B$160)+'EPA (2017) Table A3.6-7'!$AB138)/'EPA (2017) Table A3.6-7'!$AB138)*$B167</f>
        <v>1.0538546853080082</v>
      </c>
      <c r="Y167" s="324">
        <f>MAX(0,(('EPA (2017) Table A3.6-7'!$AB138-'EPA (2017) Table A3.6-7'!$C138)/COUNT('EPA (2017) Table A3.6-7'!$D$6:$AB$6)*(Y$160-$B$160)+'EPA (2017) Table A3.6-7'!$AB138)/'EPA (2017) Table A3.6-7'!$AB138)*$B167</f>
        <v>0</v>
      </c>
      <c r="Z167" s="324">
        <f>MAX(0,(('EPA (2017) Table A3.6-7'!$AB138-'EPA (2017) Table A3.6-7'!$C138)/COUNT('EPA (2017) Table A3.6-7'!$D$6:$AB$6)*(Z$160-$B$160)+'EPA (2017) Table A3.6-7'!$AB138)/'EPA (2017) Table A3.6-7'!$AB138)*$B167</f>
        <v>0</v>
      </c>
      <c r="AA167" s="324">
        <f>MAX(0,(('EPA (2017) Table A3.6-7'!$AB138-'EPA (2017) Table A3.6-7'!$C138)/COUNT('EPA (2017) Table A3.6-7'!$D$6:$AB$6)*(AA$160-$B$160)+'EPA (2017) Table A3.6-7'!$AB138)/'EPA (2017) Table A3.6-7'!$AB138)*$B167</f>
        <v>0</v>
      </c>
      <c r="AB167" s="324">
        <f>MAX(0,(('EPA (2017) Table A3.6-7'!$AB138-'EPA (2017) Table A3.6-7'!$C138)/COUNT('EPA (2017) Table A3.6-7'!$D$6:$AB$6)*(AB$160-$B$160)+'EPA (2017) Table A3.6-7'!$AB138)/'EPA (2017) Table A3.6-7'!$AB138)*$B167</f>
        <v>0</v>
      </c>
      <c r="AC167" s="324">
        <f>MAX(0,(('EPA (2017) Table A3.6-7'!$AB138-'EPA (2017) Table A3.6-7'!$C138)/COUNT('EPA (2017) Table A3.6-7'!$D$6:$AB$6)*(AC$160-$B$160)+'EPA (2017) Table A3.6-7'!$AB138)/'EPA (2017) Table A3.6-7'!$AB138)*$B167</f>
        <v>0</v>
      </c>
      <c r="AD167" s="324">
        <f>MAX(0,(('EPA (2017) Table A3.6-7'!$AB138-'EPA (2017) Table A3.6-7'!$C138)/COUNT('EPA (2017) Table A3.6-7'!$D$6:$AB$6)*(AD$160-$B$160)+'EPA (2017) Table A3.6-7'!$AB138)/'EPA (2017) Table A3.6-7'!$AB138)*$B167</f>
        <v>0</v>
      </c>
      <c r="AE167" s="324">
        <f>MAX(0,(('EPA (2017) Table A3.6-7'!$AB138-'EPA (2017) Table A3.6-7'!$C138)/COUNT('EPA (2017) Table A3.6-7'!$D$6:$AB$6)*(AE$160-$B$160)+'EPA (2017) Table A3.6-7'!$AB138)/'EPA (2017) Table A3.6-7'!$AB138)*$B167</f>
        <v>0</v>
      </c>
      <c r="AF167" s="324">
        <f>MAX(0,(('EPA (2017) Table A3.6-7'!$AB138-'EPA (2017) Table A3.6-7'!$C138)/COUNT('EPA (2017) Table A3.6-7'!$D$6:$AB$6)*(AF$160-$B$160)+'EPA (2017) Table A3.6-7'!$AB138)/'EPA (2017) Table A3.6-7'!$AB138)*$B167</f>
        <v>0</v>
      </c>
      <c r="AG167" s="324">
        <f>MAX(0,(('EPA (2017) Table A3.6-7'!$AB138-'EPA (2017) Table A3.6-7'!$C138)/COUNT('EPA (2017) Table A3.6-7'!$D$6:$AB$6)*(AG$160-$B$160)+'EPA (2017) Table A3.6-7'!$AB138)/'EPA (2017) Table A3.6-7'!$AB138)*$B167</f>
        <v>0</v>
      </c>
      <c r="AH167" s="324">
        <f>MAX(0,(('EPA (2017) Table A3.6-7'!$AB138-'EPA (2017) Table A3.6-7'!$C138)/COUNT('EPA (2017) Table A3.6-7'!$D$6:$AB$6)*(AH$160-$B$160)+'EPA (2017) Table A3.6-7'!$AB138)/'EPA (2017) Table A3.6-7'!$AB138)*$B167</f>
        <v>0</v>
      </c>
      <c r="AI167" s="324">
        <f>MAX(0,(('EPA (2017) Table A3.6-7'!$AB138-'EPA (2017) Table A3.6-7'!$C138)/COUNT('EPA (2017) Table A3.6-7'!$D$6:$AB$6)*(AI$160-$B$160)+'EPA (2017) Table A3.6-7'!$AB138)/'EPA (2017) Table A3.6-7'!$AB138)*$B167</f>
        <v>0</v>
      </c>
      <c r="AJ167" s="324">
        <f>MAX(0,(('EPA (2017) Table A3.6-7'!$AB138-'EPA (2017) Table A3.6-7'!$C138)/COUNT('EPA (2017) Table A3.6-7'!$D$6:$AB$6)*(AJ$160-$B$160)+'EPA (2017) Table A3.6-7'!$AB138)/'EPA (2017) Table A3.6-7'!$AB138)*$B167</f>
        <v>0</v>
      </c>
      <c r="AK167" s="324">
        <f>MAX(0,(('EPA (2017) Table A3.6-7'!$AB138-'EPA (2017) Table A3.6-7'!$C138)/COUNT('EPA (2017) Table A3.6-7'!$D$6:$AB$6)*(AK$160-$B$160)+'EPA (2017) Table A3.6-7'!$AB138)/'EPA (2017) Table A3.6-7'!$AB138)*$B167</f>
        <v>0</v>
      </c>
    </row>
    <row r="168" spans="1:37" x14ac:dyDescent="0.25">
      <c r="A168" s="212" t="s">
        <v>1286</v>
      </c>
      <c r="B168" s="196">
        <v>48.116177551925617</v>
      </c>
      <c r="C168" s="324">
        <f>MAX(0,(('EPA (2017) Table A3.6-7'!$AB139-'EPA (2017) Table A3.6-7'!$C139)/COUNT('EPA (2017) Table A3.6-7'!$D$6:$AB$6)*(C$160-$B$160)+'EPA (2017) Table A3.6-7'!$AB139)/'EPA (2017) Table A3.6-7'!$AB139)*$B168</f>
        <v>46.287482013124539</v>
      </c>
      <c r="D168" s="324">
        <f>MAX(0,(('EPA (2017) Table A3.6-7'!$AB139-'EPA (2017) Table A3.6-7'!$C139)/COUNT('EPA (2017) Table A3.6-7'!$D$6:$AB$6)*(D$160-$B$160)+'EPA (2017) Table A3.6-7'!$AB139)/'EPA (2017) Table A3.6-7'!$AB139)*$B168</f>
        <v>44.458786474323475</v>
      </c>
      <c r="E168" s="324">
        <f>MAX(0,(('EPA (2017) Table A3.6-7'!$AB139-'EPA (2017) Table A3.6-7'!$C139)/COUNT('EPA (2017) Table A3.6-7'!$D$6:$AB$6)*(E$160-$B$160)+'EPA (2017) Table A3.6-7'!$AB139)/'EPA (2017) Table A3.6-7'!$AB139)*$B168</f>
        <v>42.630090935522396</v>
      </c>
      <c r="F168" s="324">
        <f>MAX(0,(('EPA (2017) Table A3.6-7'!$AB139-'EPA (2017) Table A3.6-7'!$C139)/COUNT('EPA (2017) Table A3.6-7'!$D$6:$AB$6)*(F$160-$B$160)+'EPA (2017) Table A3.6-7'!$AB139)/'EPA (2017) Table A3.6-7'!$AB139)*$B168</f>
        <v>40.801395396721333</v>
      </c>
      <c r="G168" s="324">
        <f>MAX(0,(('EPA (2017) Table A3.6-7'!$AB139-'EPA (2017) Table A3.6-7'!$C139)/COUNT('EPA (2017) Table A3.6-7'!$D$6:$AB$6)*(G$160-$B$160)+'EPA (2017) Table A3.6-7'!$AB139)/'EPA (2017) Table A3.6-7'!$AB139)*$B168</f>
        <v>38.972699857920254</v>
      </c>
      <c r="H168" s="324">
        <f>MAX(0,(('EPA (2017) Table A3.6-7'!$AB139-'EPA (2017) Table A3.6-7'!$C139)/COUNT('EPA (2017) Table A3.6-7'!$D$6:$AB$6)*(H$160-$B$160)+'EPA (2017) Table A3.6-7'!$AB139)/'EPA (2017) Table A3.6-7'!$AB139)*$B168</f>
        <v>37.144004319119183</v>
      </c>
      <c r="I168" s="324">
        <f>MAX(0,(('EPA (2017) Table A3.6-7'!$AB139-'EPA (2017) Table A3.6-7'!$C139)/COUNT('EPA (2017) Table A3.6-7'!$D$6:$AB$6)*(I$160-$B$160)+'EPA (2017) Table A3.6-7'!$AB139)/'EPA (2017) Table A3.6-7'!$AB139)*$B168</f>
        <v>35.315308780318112</v>
      </c>
      <c r="J168" s="324">
        <f>MAX(0,(('EPA (2017) Table A3.6-7'!$AB139-'EPA (2017) Table A3.6-7'!$C139)/COUNT('EPA (2017) Table A3.6-7'!$D$6:$AB$6)*(J$160-$B$160)+'EPA (2017) Table A3.6-7'!$AB139)/'EPA (2017) Table A3.6-7'!$AB139)*$B168</f>
        <v>33.486613241517034</v>
      </c>
      <c r="K168" s="324">
        <f>MAX(0,(('EPA (2017) Table A3.6-7'!$AB139-'EPA (2017) Table A3.6-7'!$C139)/COUNT('EPA (2017) Table A3.6-7'!$D$6:$AB$6)*(K$160-$B$160)+'EPA (2017) Table A3.6-7'!$AB139)/'EPA (2017) Table A3.6-7'!$AB139)*$B168</f>
        <v>31.657917702715963</v>
      </c>
      <c r="L168" s="324">
        <f>MAX(0,(('EPA (2017) Table A3.6-7'!$AB139-'EPA (2017) Table A3.6-7'!$C139)/COUNT('EPA (2017) Table A3.6-7'!$D$6:$AB$6)*(L$160-$B$160)+'EPA (2017) Table A3.6-7'!$AB139)/'EPA (2017) Table A3.6-7'!$AB139)*$B168</f>
        <v>29.829222163914892</v>
      </c>
      <c r="M168" s="324">
        <f>MAX(0,(('EPA (2017) Table A3.6-7'!$AB139-'EPA (2017) Table A3.6-7'!$C139)/COUNT('EPA (2017) Table A3.6-7'!$D$6:$AB$6)*(M$160-$B$160)+'EPA (2017) Table A3.6-7'!$AB139)/'EPA (2017) Table A3.6-7'!$AB139)*$B168</f>
        <v>28.000526625113817</v>
      </c>
      <c r="N168" s="324">
        <f>MAX(0,(('EPA (2017) Table A3.6-7'!$AB139-'EPA (2017) Table A3.6-7'!$C139)/COUNT('EPA (2017) Table A3.6-7'!$D$6:$AB$6)*(N$160-$B$160)+'EPA (2017) Table A3.6-7'!$AB139)/'EPA (2017) Table A3.6-7'!$AB139)*$B168</f>
        <v>26.171831086312746</v>
      </c>
      <c r="O168" s="324">
        <f>MAX(0,(('EPA (2017) Table A3.6-7'!$AB139-'EPA (2017) Table A3.6-7'!$C139)/COUNT('EPA (2017) Table A3.6-7'!$D$6:$AB$6)*(O$160-$B$160)+'EPA (2017) Table A3.6-7'!$AB139)/'EPA (2017) Table A3.6-7'!$AB139)*$B168</f>
        <v>24.343135547511679</v>
      </c>
      <c r="P168" s="324">
        <f>MAX(0,(('EPA (2017) Table A3.6-7'!$AB139-'EPA (2017) Table A3.6-7'!$C139)/COUNT('EPA (2017) Table A3.6-7'!$D$6:$AB$6)*(P$160-$B$160)+'EPA (2017) Table A3.6-7'!$AB139)/'EPA (2017) Table A3.6-7'!$AB139)*$B168</f>
        <v>22.514440008710601</v>
      </c>
      <c r="Q168" s="324">
        <f>MAX(0,(('EPA (2017) Table A3.6-7'!$AB139-'EPA (2017) Table A3.6-7'!$C139)/COUNT('EPA (2017) Table A3.6-7'!$D$6:$AB$6)*(Q$160-$B$160)+'EPA (2017) Table A3.6-7'!$AB139)/'EPA (2017) Table A3.6-7'!$AB139)*$B168</f>
        <v>20.68574446990953</v>
      </c>
      <c r="R168" s="324">
        <f>MAX(0,(('EPA (2017) Table A3.6-7'!$AB139-'EPA (2017) Table A3.6-7'!$C139)/COUNT('EPA (2017) Table A3.6-7'!$D$6:$AB$6)*(R$160-$B$160)+'EPA (2017) Table A3.6-7'!$AB139)/'EPA (2017) Table A3.6-7'!$AB139)*$B168</f>
        <v>18.857048931108459</v>
      </c>
      <c r="S168" s="324">
        <f>MAX(0,(('EPA (2017) Table A3.6-7'!$AB139-'EPA (2017) Table A3.6-7'!$C139)/COUNT('EPA (2017) Table A3.6-7'!$D$6:$AB$6)*(S$160-$B$160)+'EPA (2017) Table A3.6-7'!$AB139)/'EPA (2017) Table A3.6-7'!$AB139)*$B168</f>
        <v>17.028353392307384</v>
      </c>
      <c r="T168" s="324">
        <f>MAX(0,(('EPA (2017) Table A3.6-7'!$AB139-'EPA (2017) Table A3.6-7'!$C139)/COUNT('EPA (2017) Table A3.6-7'!$D$6:$AB$6)*(T$160-$B$160)+'EPA (2017) Table A3.6-7'!$AB139)/'EPA (2017) Table A3.6-7'!$AB139)*$B168</f>
        <v>15.199657853506315</v>
      </c>
      <c r="U168" s="324">
        <f>MAX(0,(('EPA (2017) Table A3.6-7'!$AB139-'EPA (2017) Table A3.6-7'!$C139)/COUNT('EPA (2017) Table A3.6-7'!$D$6:$AB$6)*(U$160-$B$160)+'EPA (2017) Table A3.6-7'!$AB139)/'EPA (2017) Table A3.6-7'!$AB139)*$B168</f>
        <v>13.37096231470524</v>
      </c>
      <c r="V168" s="324">
        <f>MAX(0,(('EPA (2017) Table A3.6-7'!$AB139-'EPA (2017) Table A3.6-7'!$C139)/COUNT('EPA (2017) Table A3.6-7'!$D$6:$AB$6)*(V$160-$B$160)+'EPA (2017) Table A3.6-7'!$AB139)/'EPA (2017) Table A3.6-7'!$AB139)*$B168</f>
        <v>11.542266775904171</v>
      </c>
      <c r="W168" s="324">
        <f>MAX(0,(('EPA (2017) Table A3.6-7'!$AB139-'EPA (2017) Table A3.6-7'!$C139)/COUNT('EPA (2017) Table A3.6-7'!$D$6:$AB$6)*(W$160-$B$160)+'EPA (2017) Table A3.6-7'!$AB139)/'EPA (2017) Table A3.6-7'!$AB139)*$B168</f>
        <v>9.7135712371030962</v>
      </c>
      <c r="X168" s="324">
        <f>MAX(0,(('EPA (2017) Table A3.6-7'!$AB139-'EPA (2017) Table A3.6-7'!$C139)/COUNT('EPA (2017) Table A3.6-7'!$D$6:$AB$6)*(X$160-$B$160)+'EPA (2017) Table A3.6-7'!$AB139)/'EPA (2017) Table A3.6-7'!$AB139)*$B168</f>
        <v>7.8848756983020216</v>
      </c>
      <c r="Y168" s="324">
        <f>MAX(0,(('EPA (2017) Table A3.6-7'!$AB139-'EPA (2017) Table A3.6-7'!$C139)/COUNT('EPA (2017) Table A3.6-7'!$D$6:$AB$6)*(Y$160-$B$160)+'EPA (2017) Table A3.6-7'!$AB139)/'EPA (2017) Table A3.6-7'!$AB139)*$B168</f>
        <v>6.0561801595009532</v>
      </c>
      <c r="Z168" s="324">
        <f>MAX(0,(('EPA (2017) Table A3.6-7'!$AB139-'EPA (2017) Table A3.6-7'!$C139)/COUNT('EPA (2017) Table A3.6-7'!$D$6:$AB$6)*(Z$160-$B$160)+'EPA (2017) Table A3.6-7'!$AB139)/'EPA (2017) Table A3.6-7'!$AB139)*$B168</f>
        <v>4.2274846206998777</v>
      </c>
      <c r="AA168" s="324">
        <f>MAX(0,(('EPA (2017) Table A3.6-7'!$AB139-'EPA (2017) Table A3.6-7'!$C139)/COUNT('EPA (2017) Table A3.6-7'!$D$6:$AB$6)*(AA$160-$B$160)+'EPA (2017) Table A3.6-7'!$AB139)/'EPA (2017) Table A3.6-7'!$AB139)*$B168</f>
        <v>2.3987890818988031</v>
      </c>
      <c r="AB168" s="324">
        <f>MAX(0,(('EPA (2017) Table A3.6-7'!$AB139-'EPA (2017) Table A3.6-7'!$C139)/COUNT('EPA (2017) Table A3.6-7'!$D$6:$AB$6)*(AB$160-$B$160)+'EPA (2017) Table A3.6-7'!$AB139)/'EPA (2017) Table A3.6-7'!$AB139)*$B168</f>
        <v>0.57009354309773463</v>
      </c>
      <c r="AC168" s="324">
        <f>MAX(0,(('EPA (2017) Table A3.6-7'!$AB139-'EPA (2017) Table A3.6-7'!$C139)/COUNT('EPA (2017) Table A3.6-7'!$D$6:$AB$6)*(AC$160-$B$160)+'EPA (2017) Table A3.6-7'!$AB139)/'EPA (2017) Table A3.6-7'!$AB139)*$B168</f>
        <v>0</v>
      </c>
      <c r="AD168" s="324">
        <f>MAX(0,(('EPA (2017) Table A3.6-7'!$AB139-'EPA (2017) Table A3.6-7'!$C139)/COUNT('EPA (2017) Table A3.6-7'!$D$6:$AB$6)*(AD$160-$B$160)+'EPA (2017) Table A3.6-7'!$AB139)/'EPA (2017) Table A3.6-7'!$AB139)*$B168</f>
        <v>0</v>
      </c>
      <c r="AE168" s="324">
        <f>MAX(0,(('EPA (2017) Table A3.6-7'!$AB139-'EPA (2017) Table A3.6-7'!$C139)/COUNT('EPA (2017) Table A3.6-7'!$D$6:$AB$6)*(AE$160-$B$160)+'EPA (2017) Table A3.6-7'!$AB139)/'EPA (2017) Table A3.6-7'!$AB139)*$B168</f>
        <v>0</v>
      </c>
      <c r="AF168" s="324">
        <f>MAX(0,(('EPA (2017) Table A3.6-7'!$AB139-'EPA (2017) Table A3.6-7'!$C139)/COUNT('EPA (2017) Table A3.6-7'!$D$6:$AB$6)*(AF$160-$B$160)+'EPA (2017) Table A3.6-7'!$AB139)/'EPA (2017) Table A3.6-7'!$AB139)*$B168</f>
        <v>0</v>
      </c>
      <c r="AG168" s="324">
        <f>MAX(0,(('EPA (2017) Table A3.6-7'!$AB139-'EPA (2017) Table A3.6-7'!$C139)/COUNT('EPA (2017) Table A3.6-7'!$D$6:$AB$6)*(AG$160-$B$160)+'EPA (2017) Table A3.6-7'!$AB139)/'EPA (2017) Table A3.6-7'!$AB139)*$B168</f>
        <v>0</v>
      </c>
      <c r="AH168" s="324">
        <f>MAX(0,(('EPA (2017) Table A3.6-7'!$AB139-'EPA (2017) Table A3.6-7'!$C139)/COUNT('EPA (2017) Table A3.6-7'!$D$6:$AB$6)*(AH$160-$B$160)+'EPA (2017) Table A3.6-7'!$AB139)/'EPA (2017) Table A3.6-7'!$AB139)*$B168</f>
        <v>0</v>
      </c>
      <c r="AI168" s="324">
        <f>MAX(0,(('EPA (2017) Table A3.6-7'!$AB139-'EPA (2017) Table A3.6-7'!$C139)/COUNT('EPA (2017) Table A3.6-7'!$D$6:$AB$6)*(AI$160-$B$160)+'EPA (2017) Table A3.6-7'!$AB139)/'EPA (2017) Table A3.6-7'!$AB139)*$B168</f>
        <v>0</v>
      </c>
      <c r="AJ168" s="324">
        <f>MAX(0,(('EPA (2017) Table A3.6-7'!$AB139-'EPA (2017) Table A3.6-7'!$C139)/COUNT('EPA (2017) Table A3.6-7'!$D$6:$AB$6)*(AJ$160-$B$160)+'EPA (2017) Table A3.6-7'!$AB139)/'EPA (2017) Table A3.6-7'!$AB139)*$B168</f>
        <v>0</v>
      </c>
      <c r="AK168" s="324">
        <f>MAX(0,(('EPA (2017) Table A3.6-7'!$AB139-'EPA (2017) Table A3.6-7'!$C139)/COUNT('EPA (2017) Table A3.6-7'!$D$6:$AB$6)*(AK$160-$B$160)+'EPA (2017) Table A3.6-7'!$AB139)/'EPA (2017) Table A3.6-7'!$AB139)*$B168</f>
        <v>0</v>
      </c>
    </row>
    <row r="169" spans="1:37" x14ac:dyDescent="0.25">
      <c r="A169" s="212" t="s">
        <v>1287</v>
      </c>
      <c r="B169" s="196">
        <v>46.898941559787474</v>
      </c>
      <c r="C169" s="324">
        <f>MAX(0,(('EPA (2017) Table A3.6-7'!$AB140-'EPA (2017) Table A3.6-7'!$C140)/COUNT('EPA (2017) Table A3.6-7'!$D$6:$AB$6)*(C$160-$B$160)+'EPA (2017) Table A3.6-7'!$AB140)/'EPA (2017) Table A3.6-7'!$AB140)*$B169</f>
        <v>46.973287298823976</v>
      </c>
      <c r="D169" s="324">
        <f>MAX(0,(('EPA (2017) Table A3.6-7'!$AB140-'EPA (2017) Table A3.6-7'!$C140)/COUNT('EPA (2017) Table A3.6-7'!$D$6:$AB$6)*(D$160-$B$160)+'EPA (2017) Table A3.6-7'!$AB140)/'EPA (2017) Table A3.6-7'!$AB140)*$B169</f>
        <v>47.047633037860471</v>
      </c>
      <c r="E169" s="324">
        <f>MAX(0,(('EPA (2017) Table A3.6-7'!$AB140-'EPA (2017) Table A3.6-7'!$C140)/COUNT('EPA (2017) Table A3.6-7'!$D$6:$AB$6)*(E$160-$B$160)+'EPA (2017) Table A3.6-7'!$AB140)/'EPA (2017) Table A3.6-7'!$AB140)*$B169</f>
        <v>47.121978776896967</v>
      </c>
      <c r="F169" s="324">
        <f>MAX(0,(('EPA (2017) Table A3.6-7'!$AB140-'EPA (2017) Table A3.6-7'!$C140)/COUNT('EPA (2017) Table A3.6-7'!$D$6:$AB$6)*(F$160-$B$160)+'EPA (2017) Table A3.6-7'!$AB140)/'EPA (2017) Table A3.6-7'!$AB140)*$B169</f>
        <v>47.196324515933462</v>
      </c>
      <c r="G169" s="324">
        <f>MAX(0,(('EPA (2017) Table A3.6-7'!$AB140-'EPA (2017) Table A3.6-7'!$C140)/COUNT('EPA (2017) Table A3.6-7'!$D$6:$AB$6)*(G$160-$B$160)+'EPA (2017) Table A3.6-7'!$AB140)/'EPA (2017) Table A3.6-7'!$AB140)*$B169</f>
        <v>47.270670254969964</v>
      </c>
      <c r="H169" s="324">
        <f>MAX(0,(('EPA (2017) Table A3.6-7'!$AB140-'EPA (2017) Table A3.6-7'!$C140)/COUNT('EPA (2017) Table A3.6-7'!$D$6:$AB$6)*(H$160-$B$160)+'EPA (2017) Table A3.6-7'!$AB140)/'EPA (2017) Table A3.6-7'!$AB140)*$B169</f>
        <v>47.345015994006467</v>
      </c>
      <c r="I169" s="324">
        <f>MAX(0,(('EPA (2017) Table A3.6-7'!$AB140-'EPA (2017) Table A3.6-7'!$C140)/COUNT('EPA (2017) Table A3.6-7'!$D$6:$AB$6)*(I$160-$B$160)+'EPA (2017) Table A3.6-7'!$AB140)/'EPA (2017) Table A3.6-7'!$AB140)*$B169</f>
        <v>47.419361733042955</v>
      </c>
      <c r="J169" s="324">
        <f>MAX(0,(('EPA (2017) Table A3.6-7'!$AB140-'EPA (2017) Table A3.6-7'!$C140)/COUNT('EPA (2017) Table A3.6-7'!$D$6:$AB$6)*(J$160-$B$160)+'EPA (2017) Table A3.6-7'!$AB140)/'EPA (2017) Table A3.6-7'!$AB140)*$B169</f>
        <v>47.493707472079457</v>
      </c>
      <c r="K169" s="324">
        <f>MAX(0,(('EPA (2017) Table A3.6-7'!$AB140-'EPA (2017) Table A3.6-7'!$C140)/COUNT('EPA (2017) Table A3.6-7'!$D$6:$AB$6)*(K$160-$B$160)+'EPA (2017) Table A3.6-7'!$AB140)/'EPA (2017) Table A3.6-7'!$AB140)*$B169</f>
        <v>47.568053211115952</v>
      </c>
      <c r="L169" s="324">
        <f>MAX(0,(('EPA (2017) Table A3.6-7'!$AB140-'EPA (2017) Table A3.6-7'!$C140)/COUNT('EPA (2017) Table A3.6-7'!$D$6:$AB$6)*(L$160-$B$160)+'EPA (2017) Table A3.6-7'!$AB140)/'EPA (2017) Table A3.6-7'!$AB140)*$B169</f>
        <v>47.642398950152455</v>
      </c>
      <c r="M169" s="324">
        <f>MAX(0,(('EPA (2017) Table A3.6-7'!$AB140-'EPA (2017) Table A3.6-7'!$C140)/COUNT('EPA (2017) Table A3.6-7'!$D$6:$AB$6)*(M$160-$B$160)+'EPA (2017) Table A3.6-7'!$AB140)/'EPA (2017) Table A3.6-7'!$AB140)*$B169</f>
        <v>47.716744689188943</v>
      </c>
      <c r="N169" s="324">
        <f>MAX(0,(('EPA (2017) Table A3.6-7'!$AB140-'EPA (2017) Table A3.6-7'!$C140)/COUNT('EPA (2017) Table A3.6-7'!$D$6:$AB$6)*(N$160-$B$160)+'EPA (2017) Table A3.6-7'!$AB140)/'EPA (2017) Table A3.6-7'!$AB140)*$B169</f>
        <v>47.791090428225445</v>
      </c>
      <c r="O169" s="324">
        <f>MAX(0,(('EPA (2017) Table A3.6-7'!$AB140-'EPA (2017) Table A3.6-7'!$C140)/COUNT('EPA (2017) Table A3.6-7'!$D$6:$AB$6)*(O$160-$B$160)+'EPA (2017) Table A3.6-7'!$AB140)/'EPA (2017) Table A3.6-7'!$AB140)*$B169</f>
        <v>47.865436167261933</v>
      </c>
      <c r="P169" s="324">
        <f>MAX(0,(('EPA (2017) Table A3.6-7'!$AB140-'EPA (2017) Table A3.6-7'!$C140)/COUNT('EPA (2017) Table A3.6-7'!$D$6:$AB$6)*(P$160-$B$160)+'EPA (2017) Table A3.6-7'!$AB140)/'EPA (2017) Table A3.6-7'!$AB140)*$B169</f>
        <v>47.939781906298435</v>
      </c>
      <c r="Q169" s="324">
        <f>MAX(0,(('EPA (2017) Table A3.6-7'!$AB140-'EPA (2017) Table A3.6-7'!$C140)/COUNT('EPA (2017) Table A3.6-7'!$D$6:$AB$6)*(Q$160-$B$160)+'EPA (2017) Table A3.6-7'!$AB140)/'EPA (2017) Table A3.6-7'!$AB140)*$B169</f>
        <v>48.014127645334931</v>
      </c>
      <c r="R169" s="324">
        <f>MAX(0,(('EPA (2017) Table A3.6-7'!$AB140-'EPA (2017) Table A3.6-7'!$C140)/COUNT('EPA (2017) Table A3.6-7'!$D$6:$AB$6)*(R$160-$B$160)+'EPA (2017) Table A3.6-7'!$AB140)/'EPA (2017) Table A3.6-7'!$AB140)*$B169</f>
        <v>48.088473384371433</v>
      </c>
      <c r="S169" s="324">
        <f>MAX(0,(('EPA (2017) Table A3.6-7'!$AB140-'EPA (2017) Table A3.6-7'!$C140)/COUNT('EPA (2017) Table A3.6-7'!$D$6:$AB$6)*(S$160-$B$160)+'EPA (2017) Table A3.6-7'!$AB140)/'EPA (2017) Table A3.6-7'!$AB140)*$B169</f>
        <v>48.162819123407921</v>
      </c>
      <c r="T169" s="324">
        <f>MAX(0,(('EPA (2017) Table A3.6-7'!$AB140-'EPA (2017) Table A3.6-7'!$C140)/COUNT('EPA (2017) Table A3.6-7'!$D$6:$AB$6)*(T$160-$B$160)+'EPA (2017) Table A3.6-7'!$AB140)/'EPA (2017) Table A3.6-7'!$AB140)*$B169</f>
        <v>48.237164862444423</v>
      </c>
      <c r="U169" s="324">
        <f>MAX(0,(('EPA (2017) Table A3.6-7'!$AB140-'EPA (2017) Table A3.6-7'!$C140)/COUNT('EPA (2017) Table A3.6-7'!$D$6:$AB$6)*(U$160-$B$160)+'EPA (2017) Table A3.6-7'!$AB140)/'EPA (2017) Table A3.6-7'!$AB140)*$B169</f>
        <v>48.311510601480926</v>
      </c>
      <c r="V169" s="324">
        <f>MAX(0,(('EPA (2017) Table A3.6-7'!$AB140-'EPA (2017) Table A3.6-7'!$C140)/COUNT('EPA (2017) Table A3.6-7'!$D$6:$AB$6)*(V$160-$B$160)+'EPA (2017) Table A3.6-7'!$AB140)/'EPA (2017) Table A3.6-7'!$AB140)*$B169</f>
        <v>48.385856340517421</v>
      </c>
      <c r="W169" s="324">
        <f>MAX(0,(('EPA (2017) Table A3.6-7'!$AB140-'EPA (2017) Table A3.6-7'!$C140)/COUNT('EPA (2017) Table A3.6-7'!$D$6:$AB$6)*(W$160-$B$160)+'EPA (2017) Table A3.6-7'!$AB140)/'EPA (2017) Table A3.6-7'!$AB140)*$B169</f>
        <v>48.460202079553923</v>
      </c>
      <c r="X169" s="324">
        <f>MAX(0,(('EPA (2017) Table A3.6-7'!$AB140-'EPA (2017) Table A3.6-7'!$C140)/COUNT('EPA (2017) Table A3.6-7'!$D$6:$AB$6)*(X$160-$B$160)+'EPA (2017) Table A3.6-7'!$AB140)/'EPA (2017) Table A3.6-7'!$AB140)*$B169</f>
        <v>48.534547818590411</v>
      </c>
      <c r="Y169" s="324">
        <f>MAX(0,(('EPA (2017) Table A3.6-7'!$AB140-'EPA (2017) Table A3.6-7'!$C140)/COUNT('EPA (2017) Table A3.6-7'!$D$6:$AB$6)*(Y$160-$B$160)+'EPA (2017) Table A3.6-7'!$AB140)/'EPA (2017) Table A3.6-7'!$AB140)*$B169</f>
        <v>48.608893557626914</v>
      </c>
      <c r="Z169" s="324">
        <f>MAX(0,(('EPA (2017) Table A3.6-7'!$AB140-'EPA (2017) Table A3.6-7'!$C140)/COUNT('EPA (2017) Table A3.6-7'!$D$6:$AB$6)*(Z$160-$B$160)+'EPA (2017) Table A3.6-7'!$AB140)/'EPA (2017) Table A3.6-7'!$AB140)*$B169</f>
        <v>48.683239296663416</v>
      </c>
      <c r="AA169" s="324">
        <f>MAX(0,(('EPA (2017) Table A3.6-7'!$AB140-'EPA (2017) Table A3.6-7'!$C140)/COUNT('EPA (2017) Table A3.6-7'!$D$6:$AB$6)*(AA$160-$B$160)+'EPA (2017) Table A3.6-7'!$AB140)/'EPA (2017) Table A3.6-7'!$AB140)*$B169</f>
        <v>48.757585035699911</v>
      </c>
      <c r="AB169" s="324">
        <f>MAX(0,(('EPA (2017) Table A3.6-7'!$AB140-'EPA (2017) Table A3.6-7'!$C140)/COUNT('EPA (2017) Table A3.6-7'!$D$6:$AB$6)*(AB$160-$B$160)+'EPA (2017) Table A3.6-7'!$AB140)/'EPA (2017) Table A3.6-7'!$AB140)*$B169</f>
        <v>48.831930774736406</v>
      </c>
      <c r="AC169" s="324">
        <f>MAX(0,(('EPA (2017) Table A3.6-7'!$AB140-'EPA (2017) Table A3.6-7'!$C140)/COUNT('EPA (2017) Table A3.6-7'!$D$6:$AB$6)*(AC$160-$B$160)+'EPA (2017) Table A3.6-7'!$AB140)/'EPA (2017) Table A3.6-7'!$AB140)*$B169</f>
        <v>48.906276513772902</v>
      </c>
      <c r="AD169" s="324">
        <f>MAX(0,(('EPA (2017) Table A3.6-7'!$AB140-'EPA (2017) Table A3.6-7'!$C140)/COUNT('EPA (2017) Table A3.6-7'!$D$6:$AB$6)*(AD$160-$B$160)+'EPA (2017) Table A3.6-7'!$AB140)/'EPA (2017) Table A3.6-7'!$AB140)*$B169</f>
        <v>48.980622252809404</v>
      </c>
      <c r="AE169" s="324">
        <f>MAX(0,(('EPA (2017) Table A3.6-7'!$AB140-'EPA (2017) Table A3.6-7'!$C140)/COUNT('EPA (2017) Table A3.6-7'!$D$6:$AB$6)*(AE$160-$B$160)+'EPA (2017) Table A3.6-7'!$AB140)/'EPA (2017) Table A3.6-7'!$AB140)*$B169</f>
        <v>49.054967991845906</v>
      </c>
      <c r="AF169" s="324">
        <f>MAX(0,(('EPA (2017) Table A3.6-7'!$AB140-'EPA (2017) Table A3.6-7'!$C140)/COUNT('EPA (2017) Table A3.6-7'!$D$6:$AB$6)*(AF$160-$B$160)+'EPA (2017) Table A3.6-7'!$AB140)/'EPA (2017) Table A3.6-7'!$AB140)*$B169</f>
        <v>49.129313730882394</v>
      </c>
      <c r="AG169" s="324">
        <f>MAX(0,(('EPA (2017) Table A3.6-7'!$AB140-'EPA (2017) Table A3.6-7'!$C140)/COUNT('EPA (2017) Table A3.6-7'!$D$6:$AB$6)*(AG$160-$B$160)+'EPA (2017) Table A3.6-7'!$AB140)/'EPA (2017) Table A3.6-7'!$AB140)*$B169</f>
        <v>49.203659469918897</v>
      </c>
      <c r="AH169" s="324">
        <f>MAX(0,(('EPA (2017) Table A3.6-7'!$AB140-'EPA (2017) Table A3.6-7'!$C140)/COUNT('EPA (2017) Table A3.6-7'!$D$6:$AB$6)*(AH$160-$B$160)+'EPA (2017) Table A3.6-7'!$AB140)/'EPA (2017) Table A3.6-7'!$AB140)*$B169</f>
        <v>49.278005208955392</v>
      </c>
      <c r="AI169" s="324">
        <f>MAX(0,(('EPA (2017) Table A3.6-7'!$AB140-'EPA (2017) Table A3.6-7'!$C140)/COUNT('EPA (2017) Table A3.6-7'!$D$6:$AB$6)*(AI$160-$B$160)+'EPA (2017) Table A3.6-7'!$AB140)/'EPA (2017) Table A3.6-7'!$AB140)*$B169</f>
        <v>49.352350947991894</v>
      </c>
      <c r="AJ169" s="324">
        <f>MAX(0,(('EPA (2017) Table A3.6-7'!$AB140-'EPA (2017) Table A3.6-7'!$C140)/COUNT('EPA (2017) Table A3.6-7'!$D$6:$AB$6)*(AJ$160-$B$160)+'EPA (2017) Table A3.6-7'!$AB140)/'EPA (2017) Table A3.6-7'!$AB140)*$B169</f>
        <v>49.426696687028382</v>
      </c>
      <c r="AK169" s="324">
        <f>MAX(0,(('EPA (2017) Table A3.6-7'!$AB140-'EPA (2017) Table A3.6-7'!$C140)/COUNT('EPA (2017) Table A3.6-7'!$D$6:$AB$6)*(AK$160-$B$160)+'EPA (2017) Table A3.6-7'!$AB140)/'EPA (2017) Table A3.6-7'!$AB140)*$B169</f>
        <v>49.501042426064885</v>
      </c>
    </row>
    <row r="170" spans="1:37" x14ac:dyDescent="0.25">
      <c r="A170" s="212" t="s">
        <v>1288</v>
      </c>
      <c r="B170" s="196">
        <v>20.383368901044889</v>
      </c>
      <c r="C170" s="324">
        <f>MAX(0,(('EPA (2017) Table A3.6-7'!$AB141-'EPA (2017) Table A3.6-7'!$C141)/COUNT('EPA (2017) Table A3.6-7'!$D$6:$AB$6)*(C$160-$B$160)+'EPA (2017) Table A3.6-7'!$AB141)/'EPA (2017) Table A3.6-7'!$AB141)*$B170</f>
        <v>20.839397141117356</v>
      </c>
      <c r="D170" s="324">
        <f>MAX(0,(('EPA (2017) Table A3.6-7'!$AB141-'EPA (2017) Table A3.6-7'!$C141)/COUNT('EPA (2017) Table A3.6-7'!$D$6:$AB$6)*(D$160-$B$160)+'EPA (2017) Table A3.6-7'!$AB141)/'EPA (2017) Table A3.6-7'!$AB141)*$B170</f>
        <v>21.29542538118983</v>
      </c>
      <c r="E170" s="324">
        <f>MAX(0,(('EPA (2017) Table A3.6-7'!$AB141-'EPA (2017) Table A3.6-7'!$C141)/COUNT('EPA (2017) Table A3.6-7'!$D$6:$AB$6)*(E$160-$B$160)+'EPA (2017) Table A3.6-7'!$AB141)/'EPA (2017) Table A3.6-7'!$AB141)*$B170</f>
        <v>21.751453621262293</v>
      </c>
      <c r="F170" s="324">
        <f>MAX(0,(('EPA (2017) Table A3.6-7'!$AB141-'EPA (2017) Table A3.6-7'!$C141)/COUNT('EPA (2017) Table A3.6-7'!$D$6:$AB$6)*(F$160-$B$160)+'EPA (2017) Table A3.6-7'!$AB141)/'EPA (2017) Table A3.6-7'!$AB141)*$B170</f>
        <v>22.207481861334763</v>
      </c>
      <c r="G170" s="324">
        <f>MAX(0,(('EPA (2017) Table A3.6-7'!$AB141-'EPA (2017) Table A3.6-7'!$C141)/COUNT('EPA (2017) Table A3.6-7'!$D$6:$AB$6)*(G$160-$B$160)+'EPA (2017) Table A3.6-7'!$AB141)/'EPA (2017) Table A3.6-7'!$AB141)*$B170</f>
        <v>22.663510101407233</v>
      </c>
      <c r="H170" s="324">
        <f>MAX(0,(('EPA (2017) Table A3.6-7'!$AB141-'EPA (2017) Table A3.6-7'!$C141)/COUNT('EPA (2017) Table A3.6-7'!$D$6:$AB$6)*(H$160-$B$160)+'EPA (2017) Table A3.6-7'!$AB141)/'EPA (2017) Table A3.6-7'!$AB141)*$B170</f>
        <v>23.119538341479704</v>
      </c>
      <c r="I170" s="324">
        <f>MAX(0,(('EPA (2017) Table A3.6-7'!$AB141-'EPA (2017) Table A3.6-7'!$C141)/COUNT('EPA (2017) Table A3.6-7'!$D$6:$AB$6)*(I$160-$B$160)+'EPA (2017) Table A3.6-7'!$AB141)/'EPA (2017) Table A3.6-7'!$AB141)*$B170</f>
        <v>23.575566581552174</v>
      </c>
      <c r="J170" s="324">
        <f>MAX(0,(('EPA (2017) Table A3.6-7'!$AB141-'EPA (2017) Table A3.6-7'!$C141)/COUNT('EPA (2017) Table A3.6-7'!$D$6:$AB$6)*(J$160-$B$160)+'EPA (2017) Table A3.6-7'!$AB141)/'EPA (2017) Table A3.6-7'!$AB141)*$B170</f>
        <v>24.03159482162464</v>
      </c>
      <c r="K170" s="324">
        <f>MAX(0,(('EPA (2017) Table A3.6-7'!$AB141-'EPA (2017) Table A3.6-7'!$C141)/COUNT('EPA (2017) Table A3.6-7'!$D$6:$AB$6)*(K$160-$B$160)+'EPA (2017) Table A3.6-7'!$AB141)/'EPA (2017) Table A3.6-7'!$AB141)*$B170</f>
        <v>24.487623061697107</v>
      </c>
      <c r="L170" s="324">
        <f>MAX(0,(('EPA (2017) Table A3.6-7'!$AB141-'EPA (2017) Table A3.6-7'!$C141)/COUNT('EPA (2017) Table A3.6-7'!$D$6:$AB$6)*(L$160-$B$160)+'EPA (2017) Table A3.6-7'!$AB141)/'EPA (2017) Table A3.6-7'!$AB141)*$B170</f>
        <v>24.943651301769574</v>
      </c>
      <c r="M170" s="324">
        <f>MAX(0,(('EPA (2017) Table A3.6-7'!$AB141-'EPA (2017) Table A3.6-7'!$C141)/COUNT('EPA (2017) Table A3.6-7'!$D$6:$AB$6)*(M$160-$B$160)+'EPA (2017) Table A3.6-7'!$AB141)/'EPA (2017) Table A3.6-7'!$AB141)*$B170</f>
        <v>25.399679541842048</v>
      </c>
      <c r="N170" s="324">
        <f>MAX(0,(('EPA (2017) Table A3.6-7'!$AB141-'EPA (2017) Table A3.6-7'!$C141)/COUNT('EPA (2017) Table A3.6-7'!$D$6:$AB$6)*(N$160-$B$160)+'EPA (2017) Table A3.6-7'!$AB141)/'EPA (2017) Table A3.6-7'!$AB141)*$B170</f>
        <v>25.855707781914514</v>
      </c>
      <c r="O170" s="324">
        <f>MAX(0,(('EPA (2017) Table A3.6-7'!$AB141-'EPA (2017) Table A3.6-7'!$C141)/COUNT('EPA (2017) Table A3.6-7'!$D$6:$AB$6)*(O$160-$B$160)+'EPA (2017) Table A3.6-7'!$AB141)/'EPA (2017) Table A3.6-7'!$AB141)*$B170</f>
        <v>26.311736021986981</v>
      </c>
      <c r="P170" s="324">
        <f>MAX(0,(('EPA (2017) Table A3.6-7'!$AB141-'EPA (2017) Table A3.6-7'!$C141)/COUNT('EPA (2017) Table A3.6-7'!$D$6:$AB$6)*(P$160-$B$160)+'EPA (2017) Table A3.6-7'!$AB141)/'EPA (2017) Table A3.6-7'!$AB141)*$B170</f>
        <v>26.767764262059451</v>
      </c>
      <c r="Q170" s="324">
        <f>MAX(0,(('EPA (2017) Table A3.6-7'!$AB141-'EPA (2017) Table A3.6-7'!$C141)/COUNT('EPA (2017) Table A3.6-7'!$D$6:$AB$6)*(Q$160-$B$160)+'EPA (2017) Table A3.6-7'!$AB141)/'EPA (2017) Table A3.6-7'!$AB141)*$B170</f>
        <v>27.223792502131921</v>
      </c>
      <c r="R170" s="324">
        <f>MAX(0,(('EPA (2017) Table A3.6-7'!$AB141-'EPA (2017) Table A3.6-7'!$C141)/COUNT('EPA (2017) Table A3.6-7'!$D$6:$AB$6)*(R$160-$B$160)+'EPA (2017) Table A3.6-7'!$AB141)/'EPA (2017) Table A3.6-7'!$AB141)*$B170</f>
        <v>27.679820742204392</v>
      </c>
      <c r="S170" s="324">
        <f>MAX(0,(('EPA (2017) Table A3.6-7'!$AB141-'EPA (2017) Table A3.6-7'!$C141)/COUNT('EPA (2017) Table A3.6-7'!$D$6:$AB$6)*(S$160-$B$160)+'EPA (2017) Table A3.6-7'!$AB141)/'EPA (2017) Table A3.6-7'!$AB141)*$B170</f>
        <v>28.135848982276855</v>
      </c>
      <c r="T170" s="324">
        <f>MAX(0,(('EPA (2017) Table A3.6-7'!$AB141-'EPA (2017) Table A3.6-7'!$C141)/COUNT('EPA (2017) Table A3.6-7'!$D$6:$AB$6)*(T$160-$B$160)+'EPA (2017) Table A3.6-7'!$AB141)/'EPA (2017) Table A3.6-7'!$AB141)*$B170</f>
        <v>28.591877222349325</v>
      </c>
      <c r="U170" s="324">
        <f>MAX(0,(('EPA (2017) Table A3.6-7'!$AB141-'EPA (2017) Table A3.6-7'!$C141)/COUNT('EPA (2017) Table A3.6-7'!$D$6:$AB$6)*(U$160-$B$160)+'EPA (2017) Table A3.6-7'!$AB141)/'EPA (2017) Table A3.6-7'!$AB141)*$B170</f>
        <v>29.047905462421799</v>
      </c>
      <c r="V170" s="324">
        <f>MAX(0,(('EPA (2017) Table A3.6-7'!$AB141-'EPA (2017) Table A3.6-7'!$C141)/COUNT('EPA (2017) Table A3.6-7'!$D$6:$AB$6)*(V$160-$B$160)+'EPA (2017) Table A3.6-7'!$AB141)/'EPA (2017) Table A3.6-7'!$AB141)*$B170</f>
        <v>29.503933702494265</v>
      </c>
      <c r="W170" s="324">
        <f>MAX(0,(('EPA (2017) Table A3.6-7'!$AB141-'EPA (2017) Table A3.6-7'!$C141)/COUNT('EPA (2017) Table A3.6-7'!$D$6:$AB$6)*(W$160-$B$160)+'EPA (2017) Table A3.6-7'!$AB141)/'EPA (2017) Table A3.6-7'!$AB141)*$B170</f>
        <v>29.959961942566732</v>
      </c>
      <c r="X170" s="324">
        <f>MAX(0,(('EPA (2017) Table A3.6-7'!$AB141-'EPA (2017) Table A3.6-7'!$C141)/COUNT('EPA (2017) Table A3.6-7'!$D$6:$AB$6)*(X$160-$B$160)+'EPA (2017) Table A3.6-7'!$AB141)/'EPA (2017) Table A3.6-7'!$AB141)*$B170</f>
        <v>30.415990182639202</v>
      </c>
      <c r="Y170" s="324">
        <f>MAX(0,(('EPA (2017) Table A3.6-7'!$AB141-'EPA (2017) Table A3.6-7'!$C141)/COUNT('EPA (2017) Table A3.6-7'!$D$6:$AB$6)*(Y$160-$B$160)+'EPA (2017) Table A3.6-7'!$AB141)/'EPA (2017) Table A3.6-7'!$AB141)*$B170</f>
        <v>30.872018422711665</v>
      </c>
      <c r="Z170" s="324">
        <f>MAX(0,(('EPA (2017) Table A3.6-7'!$AB141-'EPA (2017) Table A3.6-7'!$C141)/COUNT('EPA (2017) Table A3.6-7'!$D$6:$AB$6)*(Z$160-$B$160)+'EPA (2017) Table A3.6-7'!$AB141)/'EPA (2017) Table A3.6-7'!$AB141)*$B170</f>
        <v>31.328046662784136</v>
      </c>
      <c r="AA170" s="324">
        <f>MAX(0,(('EPA (2017) Table A3.6-7'!$AB141-'EPA (2017) Table A3.6-7'!$C141)/COUNT('EPA (2017) Table A3.6-7'!$D$6:$AB$6)*(AA$160-$B$160)+'EPA (2017) Table A3.6-7'!$AB141)/'EPA (2017) Table A3.6-7'!$AB141)*$B170</f>
        <v>31.784074902856609</v>
      </c>
      <c r="AB170" s="324">
        <f>MAX(0,(('EPA (2017) Table A3.6-7'!$AB141-'EPA (2017) Table A3.6-7'!$C141)/COUNT('EPA (2017) Table A3.6-7'!$D$6:$AB$6)*(AB$160-$B$160)+'EPA (2017) Table A3.6-7'!$AB141)/'EPA (2017) Table A3.6-7'!$AB141)*$B170</f>
        <v>32.240103142929073</v>
      </c>
      <c r="AC170" s="324">
        <f>MAX(0,(('EPA (2017) Table A3.6-7'!$AB141-'EPA (2017) Table A3.6-7'!$C141)/COUNT('EPA (2017) Table A3.6-7'!$D$6:$AB$6)*(AC$160-$B$160)+'EPA (2017) Table A3.6-7'!$AB141)/'EPA (2017) Table A3.6-7'!$AB141)*$B170</f>
        <v>32.69613138300155</v>
      </c>
      <c r="AD170" s="324">
        <f>MAX(0,(('EPA (2017) Table A3.6-7'!$AB141-'EPA (2017) Table A3.6-7'!$C141)/COUNT('EPA (2017) Table A3.6-7'!$D$6:$AB$6)*(AD$160-$B$160)+'EPA (2017) Table A3.6-7'!$AB141)/'EPA (2017) Table A3.6-7'!$AB141)*$B170</f>
        <v>33.152159623074013</v>
      </c>
      <c r="AE170" s="324">
        <f>MAX(0,(('EPA (2017) Table A3.6-7'!$AB141-'EPA (2017) Table A3.6-7'!$C141)/COUNT('EPA (2017) Table A3.6-7'!$D$6:$AB$6)*(AE$160-$B$160)+'EPA (2017) Table A3.6-7'!$AB141)/'EPA (2017) Table A3.6-7'!$AB141)*$B170</f>
        <v>33.608187863146483</v>
      </c>
      <c r="AF170" s="324">
        <f>MAX(0,(('EPA (2017) Table A3.6-7'!$AB141-'EPA (2017) Table A3.6-7'!$C141)/COUNT('EPA (2017) Table A3.6-7'!$D$6:$AB$6)*(AF$160-$B$160)+'EPA (2017) Table A3.6-7'!$AB141)/'EPA (2017) Table A3.6-7'!$AB141)*$B170</f>
        <v>34.064216103218953</v>
      </c>
      <c r="AG170" s="324">
        <f>MAX(0,(('EPA (2017) Table A3.6-7'!$AB141-'EPA (2017) Table A3.6-7'!$C141)/COUNT('EPA (2017) Table A3.6-7'!$D$6:$AB$6)*(AG$160-$B$160)+'EPA (2017) Table A3.6-7'!$AB141)/'EPA (2017) Table A3.6-7'!$AB141)*$B170</f>
        <v>34.520244343291417</v>
      </c>
      <c r="AH170" s="324">
        <f>MAX(0,(('EPA (2017) Table A3.6-7'!$AB141-'EPA (2017) Table A3.6-7'!$C141)/COUNT('EPA (2017) Table A3.6-7'!$D$6:$AB$6)*(AH$160-$B$160)+'EPA (2017) Table A3.6-7'!$AB141)/'EPA (2017) Table A3.6-7'!$AB141)*$B170</f>
        <v>34.976272583363887</v>
      </c>
      <c r="AI170" s="324">
        <f>MAX(0,(('EPA (2017) Table A3.6-7'!$AB141-'EPA (2017) Table A3.6-7'!$C141)/COUNT('EPA (2017) Table A3.6-7'!$D$6:$AB$6)*(AI$160-$B$160)+'EPA (2017) Table A3.6-7'!$AB141)/'EPA (2017) Table A3.6-7'!$AB141)*$B170</f>
        <v>35.432300823436357</v>
      </c>
      <c r="AJ170" s="324">
        <f>MAX(0,(('EPA (2017) Table A3.6-7'!$AB141-'EPA (2017) Table A3.6-7'!$C141)/COUNT('EPA (2017) Table A3.6-7'!$D$6:$AB$6)*(AJ$160-$B$160)+'EPA (2017) Table A3.6-7'!$AB141)/'EPA (2017) Table A3.6-7'!$AB141)*$B170</f>
        <v>35.88832906350882</v>
      </c>
      <c r="AK170" s="324">
        <f>MAX(0,(('EPA (2017) Table A3.6-7'!$AB141-'EPA (2017) Table A3.6-7'!$C141)/COUNT('EPA (2017) Table A3.6-7'!$D$6:$AB$6)*(AK$160-$B$160)+'EPA (2017) Table A3.6-7'!$AB141)/'EPA (2017) Table A3.6-7'!$AB141)*$B170</f>
        <v>36.34435730358129</v>
      </c>
    </row>
    <row r="171" spans="1:37" x14ac:dyDescent="0.25">
      <c r="A171" s="212" t="s">
        <v>1289</v>
      </c>
      <c r="B171" s="196">
        <v>47.769130049054105</v>
      </c>
      <c r="C171" s="324">
        <f>MAX(0,(('EPA (2017) Table A3.6-7'!$AB143-'EPA (2017) Table A3.6-7'!$C143)/COUNT('EPA (2017) Table A3.6-7'!$D$6:$AB$6)*(C$160-$B$160)+'EPA (2017) Table A3.6-7'!$AB143)/'EPA (2017) Table A3.6-7'!$AB143)*$B171</f>
        <v>45.256524195965838</v>
      </c>
      <c r="D171" s="324">
        <f>MAX(0,(('EPA (2017) Table A3.6-7'!$AB143-'EPA (2017) Table A3.6-7'!$C143)/COUNT('EPA (2017) Table A3.6-7'!$D$6:$AB$6)*(D$160-$B$160)+'EPA (2017) Table A3.6-7'!$AB143)/'EPA (2017) Table A3.6-7'!$AB143)*$B171</f>
        <v>42.743918342877571</v>
      </c>
      <c r="E171" s="324">
        <f>MAX(0,(('EPA (2017) Table A3.6-7'!$AB143-'EPA (2017) Table A3.6-7'!$C143)/COUNT('EPA (2017) Table A3.6-7'!$D$6:$AB$6)*(E$160-$B$160)+'EPA (2017) Table A3.6-7'!$AB143)/'EPA (2017) Table A3.6-7'!$AB143)*$B171</f>
        <v>40.231312489789303</v>
      </c>
      <c r="F171" s="324">
        <f>MAX(0,(('EPA (2017) Table A3.6-7'!$AB143-'EPA (2017) Table A3.6-7'!$C143)/COUNT('EPA (2017) Table A3.6-7'!$D$6:$AB$6)*(F$160-$B$160)+'EPA (2017) Table A3.6-7'!$AB143)/'EPA (2017) Table A3.6-7'!$AB143)*$B171</f>
        <v>37.718706636701036</v>
      </c>
      <c r="G171" s="324">
        <f>MAX(0,(('EPA (2017) Table A3.6-7'!$AB143-'EPA (2017) Table A3.6-7'!$C143)/COUNT('EPA (2017) Table A3.6-7'!$D$6:$AB$6)*(G$160-$B$160)+'EPA (2017) Table A3.6-7'!$AB143)/'EPA (2017) Table A3.6-7'!$AB143)*$B171</f>
        <v>35.206100783612769</v>
      </c>
      <c r="H171" s="324">
        <f>MAX(0,(('EPA (2017) Table A3.6-7'!$AB143-'EPA (2017) Table A3.6-7'!$C143)/COUNT('EPA (2017) Table A3.6-7'!$D$6:$AB$6)*(H$160-$B$160)+'EPA (2017) Table A3.6-7'!$AB143)/'EPA (2017) Table A3.6-7'!$AB143)*$B171</f>
        <v>32.693494930524501</v>
      </c>
      <c r="I171" s="324">
        <f>MAX(0,(('EPA (2017) Table A3.6-7'!$AB143-'EPA (2017) Table A3.6-7'!$C143)/COUNT('EPA (2017) Table A3.6-7'!$D$6:$AB$6)*(I$160-$B$160)+'EPA (2017) Table A3.6-7'!$AB143)/'EPA (2017) Table A3.6-7'!$AB143)*$B171</f>
        <v>30.18088907743623</v>
      </c>
      <c r="J171" s="324">
        <f>MAX(0,(('EPA (2017) Table A3.6-7'!$AB143-'EPA (2017) Table A3.6-7'!$C143)/COUNT('EPA (2017) Table A3.6-7'!$D$6:$AB$6)*(J$160-$B$160)+'EPA (2017) Table A3.6-7'!$AB143)/'EPA (2017) Table A3.6-7'!$AB143)*$B171</f>
        <v>27.668283224347967</v>
      </c>
      <c r="K171" s="324">
        <f>MAX(0,(('EPA (2017) Table A3.6-7'!$AB143-'EPA (2017) Table A3.6-7'!$C143)/COUNT('EPA (2017) Table A3.6-7'!$D$6:$AB$6)*(K$160-$B$160)+'EPA (2017) Table A3.6-7'!$AB143)/'EPA (2017) Table A3.6-7'!$AB143)*$B171</f>
        <v>25.155677371259696</v>
      </c>
      <c r="L171" s="324">
        <f>MAX(0,(('EPA (2017) Table A3.6-7'!$AB143-'EPA (2017) Table A3.6-7'!$C143)/COUNT('EPA (2017) Table A3.6-7'!$D$6:$AB$6)*(L$160-$B$160)+'EPA (2017) Table A3.6-7'!$AB143)/'EPA (2017) Table A3.6-7'!$AB143)*$B171</f>
        <v>22.643071518171428</v>
      </c>
      <c r="M171" s="324">
        <f>MAX(0,(('EPA (2017) Table A3.6-7'!$AB143-'EPA (2017) Table A3.6-7'!$C143)/COUNT('EPA (2017) Table A3.6-7'!$D$6:$AB$6)*(M$160-$B$160)+'EPA (2017) Table A3.6-7'!$AB143)/'EPA (2017) Table A3.6-7'!$AB143)*$B171</f>
        <v>20.130465665083161</v>
      </c>
      <c r="N171" s="324">
        <f>MAX(0,(('EPA (2017) Table A3.6-7'!$AB143-'EPA (2017) Table A3.6-7'!$C143)/COUNT('EPA (2017) Table A3.6-7'!$D$6:$AB$6)*(N$160-$B$160)+'EPA (2017) Table A3.6-7'!$AB143)/'EPA (2017) Table A3.6-7'!$AB143)*$B171</f>
        <v>17.617859811994894</v>
      </c>
      <c r="O171" s="324">
        <f>MAX(0,(('EPA (2017) Table A3.6-7'!$AB143-'EPA (2017) Table A3.6-7'!$C143)/COUNT('EPA (2017) Table A3.6-7'!$D$6:$AB$6)*(O$160-$B$160)+'EPA (2017) Table A3.6-7'!$AB143)/'EPA (2017) Table A3.6-7'!$AB143)*$B171</f>
        <v>15.10525395890663</v>
      </c>
      <c r="P171" s="324">
        <f>MAX(0,(('EPA (2017) Table A3.6-7'!$AB143-'EPA (2017) Table A3.6-7'!$C143)/COUNT('EPA (2017) Table A3.6-7'!$D$6:$AB$6)*(P$160-$B$160)+'EPA (2017) Table A3.6-7'!$AB143)/'EPA (2017) Table A3.6-7'!$AB143)*$B171</f>
        <v>12.592648105818357</v>
      </c>
      <c r="Q171" s="324">
        <f>MAX(0,(('EPA (2017) Table A3.6-7'!$AB143-'EPA (2017) Table A3.6-7'!$C143)/COUNT('EPA (2017) Table A3.6-7'!$D$6:$AB$6)*(Q$160-$B$160)+'EPA (2017) Table A3.6-7'!$AB143)/'EPA (2017) Table A3.6-7'!$AB143)*$B171</f>
        <v>10.080042252730086</v>
      </c>
      <c r="R171" s="324">
        <f>MAX(0,(('EPA (2017) Table A3.6-7'!$AB143-'EPA (2017) Table A3.6-7'!$C143)/COUNT('EPA (2017) Table A3.6-7'!$D$6:$AB$6)*(R$160-$B$160)+'EPA (2017) Table A3.6-7'!$AB143)/'EPA (2017) Table A3.6-7'!$AB143)*$B171</f>
        <v>7.5674363996418226</v>
      </c>
      <c r="S171" s="324">
        <f>MAX(0,(('EPA (2017) Table A3.6-7'!$AB143-'EPA (2017) Table A3.6-7'!$C143)/COUNT('EPA (2017) Table A3.6-7'!$D$6:$AB$6)*(S$160-$B$160)+'EPA (2017) Table A3.6-7'!$AB143)/'EPA (2017) Table A3.6-7'!$AB143)*$B171</f>
        <v>5.0548305465535579</v>
      </c>
      <c r="T171" s="324">
        <f>MAX(0,(('EPA (2017) Table A3.6-7'!$AB143-'EPA (2017) Table A3.6-7'!$C143)/COUNT('EPA (2017) Table A3.6-7'!$D$6:$AB$6)*(T$160-$B$160)+'EPA (2017) Table A3.6-7'!$AB143)/'EPA (2017) Table A3.6-7'!$AB143)*$B171</f>
        <v>2.542224693465287</v>
      </c>
      <c r="U171" s="324">
        <f>MAX(0,(('EPA (2017) Table A3.6-7'!$AB143-'EPA (2017) Table A3.6-7'!$C143)/COUNT('EPA (2017) Table A3.6-7'!$D$6:$AB$6)*(U$160-$B$160)+'EPA (2017) Table A3.6-7'!$AB143)/'EPA (2017) Table A3.6-7'!$AB143)*$B171</f>
        <v>2.9618840377016134E-2</v>
      </c>
      <c r="V171" s="324">
        <f>MAX(0,(('EPA (2017) Table A3.6-7'!$AB143-'EPA (2017) Table A3.6-7'!$C143)/COUNT('EPA (2017) Table A3.6-7'!$D$6:$AB$6)*(V$160-$B$160)+'EPA (2017) Table A3.6-7'!$AB143)/'EPA (2017) Table A3.6-7'!$AB143)*$B171</f>
        <v>0</v>
      </c>
      <c r="W171" s="324">
        <f>MAX(0,(('EPA (2017) Table A3.6-7'!$AB143-'EPA (2017) Table A3.6-7'!$C143)/COUNT('EPA (2017) Table A3.6-7'!$D$6:$AB$6)*(W$160-$B$160)+'EPA (2017) Table A3.6-7'!$AB143)/'EPA (2017) Table A3.6-7'!$AB143)*$B171</f>
        <v>0</v>
      </c>
      <c r="X171" s="324">
        <f>MAX(0,(('EPA (2017) Table A3.6-7'!$AB143-'EPA (2017) Table A3.6-7'!$C143)/COUNT('EPA (2017) Table A3.6-7'!$D$6:$AB$6)*(X$160-$B$160)+'EPA (2017) Table A3.6-7'!$AB143)/'EPA (2017) Table A3.6-7'!$AB143)*$B171</f>
        <v>0</v>
      </c>
      <c r="Y171" s="324">
        <f>MAX(0,(('EPA (2017) Table A3.6-7'!$AB143-'EPA (2017) Table A3.6-7'!$C143)/COUNT('EPA (2017) Table A3.6-7'!$D$6:$AB$6)*(Y$160-$B$160)+'EPA (2017) Table A3.6-7'!$AB143)/'EPA (2017) Table A3.6-7'!$AB143)*$B171</f>
        <v>0</v>
      </c>
      <c r="Z171" s="324">
        <f>MAX(0,(('EPA (2017) Table A3.6-7'!$AB143-'EPA (2017) Table A3.6-7'!$C143)/COUNT('EPA (2017) Table A3.6-7'!$D$6:$AB$6)*(Z$160-$B$160)+'EPA (2017) Table A3.6-7'!$AB143)/'EPA (2017) Table A3.6-7'!$AB143)*$B171</f>
        <v>0</v>
      </c>
      <c r="AA171" s="324">
        <f>MAX(0,(('EPA (2017) Table A3.6-7'!$AB143-'EPA (2017) Table A3.6-7'!$C143)/COUNT('EPA (2017) Table A3.6-7'!$D$6:$AB$6)*(AA$160-$B$160)+'EPA (2017) Table A3.6-7'!$AB143)/'EPA (2017) Table A3.6-7'!$AB143)*$B171</f>
        <v>0</v>
      </c>
      <c r="AB171" s="324">
        <f>MAX(0,(('EPA (2017) Table A3.6-7'!$AB143-'EPA (2017) Table A3.6-7'!$C143)/COUNT('EPA (2017) Table A3.6-7'!$D$6:$AB$6)*(AB$160-$B$160)+'EPA (2017) Table A3.6-7'!$AB143)/'EPA (2017) Table A3.6-7'!$AB143)*$B171</f>
        <v>0</v>
      </c>
      <c r="AC171" s="324">
        <f>MAX(0,(('EPA (2017) Table A3.6-7'!$AB143-'EPA (2017) Table A3.6-7'!$C143)/COUNT('EPA (2017) Table A3.6-7'!$D$6:$AB$6)*(AC$160-$B$160)+'EPA (2017) Table A3.6-7'!$AB143)/'EPA (2017) Table A3.6-7'!$AB143)*$B171</f>
        <v>0</v>
      </c>
      <c r="AD171" s="324">
        <f>MAX(0,(('EPA (2017) Table A3.6-7'!$AB143-'EPA (2017) Table A3.6-7'!$C143)/COUNT('EPA (2017) Table A3.6-7'!$D$6:$AB$6)*(AD$160-$B$160)+'EPA (2017) Table A3.6-7'!$AB143)/'EPA (2017) Table A3.6-7'!$AB143)*$B171</f>
        <v>0</v>
      </c>
      <c r="AE171" s="324">
        <f>MAX(0,(('EPA (2017) Table A3.6-7'!$AB143-'EPA (2017) Table A3.6-7'!$C143)/COUNT('EPA (2017) Table A3.6-7'!$D$6:$AB$6)*(AE$160-$B$160)+'EPA (2017) Table A3.6-7'!$AB143)/'EPA (2017) Table A3.6-7'!$AB143)*$B171</f>
        <v>0</v>
      </c>
      <c r="AF171" s="324">
        <f>MAX(0,(('EPA (2017) Table A3.6-7'!$AB143-'EPA (2017) Table A3.6-7'!$C143)/COUNT('EPA (2017) Table A3.6-7'!$D$6:$AB$6)*(AF$160-$B$160)+'EPA (2017) Table A3.6-7'!$AB143)/'EPA (2017) Table A3.6-7'!$AB143)*$B171</f>
        <v>0</v>
      </c>
      <c r="AG171" s="324">
        <f>MAX(0,(('EPA (2017) Table A3.6-7'!$AB143-'EPA (2017) Table A3.6-7'!$C143)/COUNT('EPA (2017) Table A3.6-7'!$D$6:$AB$6)*(AG$160-$B$160)+'EPA (2017) Table A3.6-7'!$AB143)/'EPA (2017) Table A3.6-7'!$AB143)*$B171</f>
        <v>0</v>
      </c>
      <c r="AH171" s="324">
        <f>MAX(0,(('EPA (2017) Table A3.6-7'!$AB143-'EPA (2017) Table A3.6-7'!$C143)/COUNT('EPA (2017) Table A3.6-7'!$D$6:$AB$6)*(AH$160-$B$160)+'EPA (2017) Table A3.6-7'!$AB143)/'EPA (2017) Table A3.6-7'!$AB143)*$B171</f>
        <v>0</v>
      </c>
      <c r="AI171" s="324">
        <f>MAX(0,(('EPA (2017) Table A3.6-7'!$AB143-'EPA (2017) Table A3.6-7'!$C143)/COUNT('EPA (2017) Table A3.6-7'!$D$6:$AB$6)*(AI$160-$B$160)+'EPA (2017) Table A3.6-7'!$AB143)/'EPA (2017) Table A3.6-7'!$AB143)*$B171</f>
        <v>0</v>
      </c>
      <c r="AJ171" s="324">
        <f>MAX(0,(('EPA (2017) Table A3.6-7'!$AB143-'EPA (2017) Table A3.6-7'!$C143)/COUNT('EPA (2017) Table A3.6-7'!$D$6:$AB$6)*(AJ$160-$B$160)+'EPA (2017) Table A3.6-7'!$AB143)/'EPA (2017) Table A3.6-7'!$AB143)*$B171</f>
        <v>0</v>
      </c>
      <c r="AK171" s="324">
        <f>MAX(0,(('EPA (2017) Table A3.6-7'!$AB143-'EPA (2017) Table A3.6-7'!$C143)/COUNT('EPA (2017) Table A3.6-7'!$D$6:$AB$6)*(AK$160-$B$160)+'EPA (2017) Table A3.6-7'!$AB143)/'EPA (2017) Table A3.6-7'!$AB143)*$B171</f>
        <v>0</v>
      </c>
    </row>
    <row r="172" spans="1:37" x14ac:dyDescent="0.25">
      <c r="A172" s="212" t="s">
        <v>1290</v>
      </c>
      <c r="B172" s="196">
        <v>18.56120141609545</v>
      </c>
      <c r="C172" s="324">
        <f>MAX(0,(('EPA (2017) Table A3.6-7'!$AB144-'EPA (2017) Table A3.6-7'!$C144)/COUNT('EPA (2017) Table A3.6-7'!$D$6:$AB$6)*(C$160-$B$160)+'EPA (2017) Table A3.6-7'!$AB144)/'EPA (2017) Table A3.6-7'!$AB144)*$B172</f>
        <v>18.278760853669191</v>
      </c>
      <c r="D172" s="324">
        <f>MAX(0,(('EPA (2017) Table A3.6-7'!$AB144-'EPA (2017) Table A3.6-7'!$C144)/COUNT('EPA (2017) Table A3.6-7'!$D$6:$AB$6)*(D$160-$B$160)+'EPA (2017) Table A3.6-7'!$AB144)/'EPA (2017) Table A3.6-7'!$AB144)*$B172</f>
        <v>17.996320291242931</v>
      </c>
      <c r="E172" s="324">
        <f>MAX(0,(('EPA (2017) Table A3.6-7'!$AB144-'EPA (2017) Table A3.6-7'!$C144)/COUNT('EPA (2017) Table A3.6-7'!$D$6:$AB$6)*(E$160-$B$160)+'EPA (2017) Table A3.6-7'!$AB144)/'EPA (2017) Table A3.6-7'!$AB144)*$B172</f>
        <v>17.713879728816671</v>
      </c>
      <c r="F172" s="324">
        <f>MAX(0,(('EPA (2017) Table A3.6-7'!$AB144-'EPA (2017) Table A3.6-7'!$C144)/COUNT('EPA (2017) Table A3.6-7'!$D$6:$AB$6)*(F$160-$B$160)+'EPA (2017) Table A3.6-7'!$AB144)/'EPA (2017) Table A3.6-7'!$AB144)*$B172</f>
        <v>17.431439166390408</v>
      </c>
      <c r="G172" s="324">
        <f>MAX(0,(('EPA (2017) Table A3.6-7'!$AB144-'EPA (2017) Table A3.6-7'!$C144)/COUNT('EPA (2017) Table A3.6-7'!$D$6:$AB$6)*(G$160-$B$160)+'EPA (2017) Table A3.6-7'!$AB144)/'EPA (2017) Table A3.6-7'!$AB144)*$B172</f>
        <v>17.148998603964149</v>
      </c>
      <c r="H172" s="324">
        <f>MAX(0,(('EPA (2017) Table A3.6-7'!$AB144-'EPA (2017) Table A3.6-7'!$C144)/COUNT('EPA (2017) Table A3.6-7'!$D$6:$AB$6)*(H$160-$B$160)+'EPA (2017) Table A3.6-7'!$AB144)/'EPA (2017) Table A3.6-7'!$AB144)*$B172</f>
        <v>16.866558041537889</v>
      </c>
      <c r="I172" s="324">
        <f>MAX(0,(('EPA (2017) Table A3.6-7'!$AB144-'EPA (2017) Table A3.6-7'!$C144)/COUNT('EPA (2017) Table A3.6-7'!$D$6:$AB$6)*(I$160-$B$160)+'EPA (2017) Table A3.6-7'!$AB144)/'EPA (2017) Table A3.6-7'!$AB144)*$B172</f>
        <v>16.584117479111626</v>
      </c>
      <c r="J172" s="324">
        <f>MAX(0,(('EPA (2017) Table A3.6-7'!$AB144-'EPA (2017) Table A3.6-7'!$C144)/COUNT('EPA (2017) Table A3.6-7'!$D$6:$AB$6)*(J$160-$B$160)+'EPA (2017) Table A3.6-7'!$AB144)/'EPA (2017) Table A3.6-7'!$AB144)*$B172</f>
        <v>16.30167691668537</v>
      </c>
      <c r="K172" s="324">
        <f>MAX(0,(('EPA (2017) Table A3.6-7'!$AB144-'EPA (2017) Table A3.6-7'!$C144)/COUNT('EPA (2017) Table A3.6-7'!$D$6:$AB$6)*(K$160-$B$160)+'EPA (2017) Table A3.6-7'!$AB144)/'EPA (2017) Table A3.6-7'!$AB144)*$B172</f>
        <v>16.019236354259107</v>
      </c>
      <c r="L172" s="324">
        <f>MAX(0,(('EPA (2017) Table A3.6-7'!$AB144-'EPA (2017) Table A3.6-7'!$C144)/COUNT('EPA (2017) Table A3.6-7'!$D$6:$AB$6)*(L$160-$B$160)+'EPA (2017) Table A3.6-7'!$AB144)/'EPA (2017) Table A3.6-7'!$AB144)*$B172</f>
        <v>15.736795791832845</v>
      </c>
      <c r="M172" s="324">
        <f>MAX(0,(('EPA (2017) Table A3.6-7'!$AB144-'EPA (2017) Table A3.6-7'!$C144)/COUNT('EPA (2017) Table A3.6-7'!$D$6:$AB$6)*(M$160-$B$160)+'EPA (2017) Table A3.6-7'!$AB144)/'EPA (2017) Table A3.6-7'!$AB144)*$B172</f>
        <v>15.454355229406586</v>
      </c>
      <c r="N172" s="324">
        <f>MAX(0,(('EPA (2017) Table A3.6-7'!$AB144-'EPA (2017) Table A3.6-7'!$C144)/COUNT('EPA (2017) Table A3.6-7'!$D$6:$AB$6)*(N$160-$B$160)+'EPA (2017) Table A3.6-7'!$AB144)/'EPA (2017) Table A3.6-7'!$AB144)*$B172</f>
        <v>15.171914666980324</v>
      </c>
      <c r="O172" s="324">
        <f>MAX(0,(('EPA (2017) Table A3.6-7'!$AB144-'EPA (2017) Table A3.6-7'!$C144)/COUNT('EPA (2017) Table A3.6-7'!$D$6:$AB$6)*(O$160-$B$160)+'EPA (2017) Table A3.6-7'!$AB144)/'EPA (2017) Table A3.6-7'!$AB144)*$B172</f>
        <v>14.889474104554065</v>
      </c>
      <c r="P172" s="324">
        <f>MAX(0,(('EPA (2017) Table A3.6-7'!$AB144-'EPA (2017) Table A3.6-7'!$C144)/COUNT('EPA (2017) Table A3.6-7'!$D$6:$AB$6)*(P$160-$B$160)+'EPA (2017) Table A3.6-7'!$AB144)/'EPA (2017) Table A3.6-7'!$AB144)*$B172</f>
        <v>14.607033542127805</v>
      </c>
      <c r="Q172" s="324">
        <f>MAX(0,(('EPA (2017) Table A3.6-7'!$AB144-'EPA (2017) Table A3.6-7'!$C144)/COUNT('EPA (2017) Table A3.6-7'!$D$6:$AB$6)*(Q$160-$B$160)+'EPA (2017) Table A3.6-7'!$AB144)/'EPA (2017) Table A3.6-7'!$AB144)*$B172</f>
        <v>14.324592979701546</v>
      </c>
      <c r="R172" s="324">
        <f>MAX(0,(('EPA (2017) Table A3.6-7'!$AB144-'EPA (2017) Table A3.6-7'!$C144)/COUNT('EPA (2017) Table A3.6-7'!$D$6:$AB$6)*(R$160-$B$160)+'EPA (2017) Table A3.6-7'!$AB144)/'EPA (2017) Table A3.6-7'!$AB144)*$B172</f>
        <v>14.042152417275286</v>
      </c>
      <c r="S172" s="324">
        <f>MAX(0,(('EPA (2017) Table A3.6-7'!$AB144-'EPA (2017) Table A3.6-7'!$C144)/COUNT('EPA (2017) Table A3.6-7'!$D$6:$AB$6)*(S$160-$B$160)+'EPA (2017) Table A3.6-7'!$AB144)/'EPA (2017) Table A3.6-7'!$AB144)*$B172</f>
        <v>13.759711854849023</v>
      </c>
      <c r="T172" s="324">
        <f>MAX(0,(('EPA (2017) Table A3.6-7'!$AB144-'EPA (2017) Table A3.6-7'!$C144)/COUNT('EPA (2017) Table A3.6-7'!$D$6:$AB$6)*(T$160-$B$160)+'EPA (2017) Table A3.6-7'!$AB144)/'EPA (2017) Table A3.6-7'!$AB144)*$B172</f>
        <v>13.477271292422763</v>
      </c>
      <c r="U172" s="324">
        <f>MAX(0,(('EPA (2017) Table A3.6-7'!$AB144-'EPA (2017) Table A3.6-7'!$C144)/COUNT('EPA (2017) Table A3.6-7'!$D$6:$AB$6)*(U$160-$B$160)+'EPA (2017) Table A3.6-7'!$AB144)/'EPA (2017) Table A3.6-7'!$AB144)*$B172</f>
        <v>13.194830729996504</v>
      </c>
      <c r="V172" s="324">
        <f>MAX(0,(('EPA (2017) Table A3.6-7'!$AB144-'EPA (2017) Table A3.6-7'!$C144)/COUNT('EPA (2017) Table A3.6-7'!$D$6:$AB$6)*(V$160-$B$160)+'EPA (2017) Table A3.6-7'!$AB144)/'EPA (2017) Table A3.6-7'!$AB144)*$B172</f>
        <v>12.912390167570242</v>
      </c>
      <c r="W172" s="324">
        <f>MAX(0,(('EPA (2017) Table A3.6-7'!$AB144-'EPA (2017) Table A3.6-7'!$C144)/COUNT('EPA (2017) Table A3.6-7'!$D$6:$AB$6)*(W$160-$B$160)+'EPA (2017) Table A3.6-7'!$AB144)/'EPA (2017) Table A3.6-7'!$AB144)*$B172</f>
        <v>12.629949605143981</v>
      </c>
      <c r="X172" s="324">
        <f>MAX(0,(('EPA (2017) Table A3.6-7'!$AB144-'EPA (2017) Table A3.6-7'!$C144)/COUNT('EPA (2017) Table A3.6-7'!$D$6:$AB$6)*(X$160-$B$160)+'EPA (2017) Table A3.6-7'!$AB144)/'EPA (2017) Table A3.6-7'!$AB144)*$B172</f>
        <v>12.34750904271772</v>
      </c>
      <c r="Y172" s="324">
        <f>MAX(0,(('EPA (2017) Table A3.6-7'!$AB144-'EPA (2017) Table A3.6-7'!$C144)/COUNT('EPA (2017) Table A3.6-7'!$D$6:$AB$6)*(Y$160-$B$160)+'EPA (2017) Table A3.6-7'!$AB144)/'EPA (2017) Table A3.6-7'!$AB144)*$B172</f>
        <v>12.065068480291462</v>
      </c>
      <c r="Z172" s="324">
        <f>MAX(0,(('EPA (2017) Table A3.6-7'!$AB144-'EPA (2017) Table A3.6-7'!$C144)/COUNT('EPA (2017) Table A3.6-7'!$D$6:$AB$6)*(Z$160-$B$160)+'EPA (2017) Table A3.6-7'!$AB144)/'EPA (2017) Table A3.6-7'!$AB144)*$B172</f>
        <v>11.7826279178652</v>
      </c>
      <c r="AA172" s="324">
        <f>MAX(0,(('EPA (2017) Table A3.6-7'!$AB144-'EPA (2017) Table A3.6-7'!$C144)/COUNT('EPA (2017) Table A3.6-7'!$D$6:$AB$6)*(AA$160-$B$160)+'EPA (2017) Table A3.6-7'!$AB144)/'EPA (2017) Table A3.6-7'!$AB144)*$B172</f>
        <v>11.500187355438941</v>
      </c>
      <c r="AB172" s="324">
        <f>MAX(0,(('EPA (2017) Table A3.6-7'!$AB144-'EPA (2017) Table A3.6-7'!$C144)/COUNT('EPA (2017) Table A3.6-7'!$D$6:$AB$6)*(AB$160-$B$160)+'EPA (2017) Table A3.6-7'!$AB144)/'EPA (2017) Table A3.6-7'!$AB144)*$B172</f>
        <v>11.217746793012681</v>
      </c>
      <c r="AC172" s="324">
        <f>MAX(0,(('EPA (2017) Table A3.6-7'!$AB144-'EPA (2017) Table A3.6-7'!$C144)/COUNT('EPA (2017) Table A3.6-7'!$D$6:$AB$6)*(AC$160-$B$160)+'EPA (2017) Table A3.6-7'!$AB144)/'EPA (2017) Table A3.6-7'!$AB144)*$B172</f>
        <v>10.93530623058642</v>
      </c>
      <c r="AD172" s="324">
        <f>MAX(0,(('EPA (2017) Table A3.6-7'!$AB144-'EPA (2017) Table A3.6-7'!$C144)/COUNT('EPA (2017) Table A3.6-7'!$D$6:$AB$6)*(AD$160-$B$160)+'EPA (2017) Table A3.6-7'!$AB144)/'EPA (2017) Table A3.6-7'!$AB144)*$B172</f>
        <v>10.652865668160159</v>
      </c>
      <c r="AE172" s="324">
        <f>MAX(0,(('EPA (2017) Table A3.6-7'!$AB144-'EPA (2017) Table A3.6-7'!$C144)/COUNT('EPA (2017) Table A3.6-7'!$D$6:$AB$6)*(AE$160-$B$160)+'EPA (2017) Table A3.6-7'!$AB144)/'EPA (2017) Table A3.6-7'!$AB144)*$B172</f>
        <v>10.370425105733899</v>
      </c>
      <c r="AF172" s="324">
        <f>MAX(0,(('EPA (2017) Table A3.6-7'!$AB144-'EPA (2017) Table A3.6-7'!$C144)/COUNT('EPA (2017) Table A3.6-7'!$D$6:$AB$6)*(AF$160-$B$160)+'EPA (2017) Table A3.6-7'!$AB144)/'EPA (2017) Table A3.6-7'!$AB144)*$B172</f>
        <v>10.087984543307639</v>
      </c>
      <c r="AG172" s="324">
        <f>MAX(0,(('EPA (2017) Table A3.6-7'!$AB144-'EPA (2017) Table A3.6-7'!$C144)/COUNT('EPA (2017) Table A3.6-7'!$D$6:$AB$6)*(AG$160-$B$160)+'EPA (2017) Table A3.6-7'!$AB144)/'EPA (2017) Table A3.6-7'!$AB144)*$B172</f>
        <v>9.8055439808813798</v>
      </c>
      <c r="AH172" s="324">
        <f>MAX(0,(('EPA (2017) Table A3.6-7'!$AB144-'EPA (2017) Table A3.6-7'!$C144)/COUNT('EPA (2017) Table A3.6-7'!$D$6:$AB$6)*(AH$160-$B$160)+'EPA (2017) Table A3.6-7'!$AB144)/'EPA (2017) Table A3.6-7'!$AB144)*$B172</f>
        <v>9.5231034184551184</v>
      </c>
      <c r="AI172" s="324">
        <f>MAX(0,(('EPA (2017) Table A3.6-7'!$AB144-'EPA (2017) Table A3.6-7'!$C144)/COUNT('EPA (2017) Table A3.6-7'!$D$6:$AB$6)*(AI$160-$B$160)+'EPA (2017) Table A3.6-7'!$AB144)/'EPA (2017) Table A3.6-7'!$AB144)*$B172</f>
        <v>9.2406628560288588</v>
      </c>
      <c r="AJ172" s="324">
        <f>MAX(0,(('EPA (2017) Table A3.6-7'!$AB144-'EPA (2017) Table A3.6-7'!$C144)/COUNT('EPA (2017) Table A3.6-7'!$D$6:$AB$6)*(AJ$160-$B$160)+'EPA (2017) Table A3.6-7'!$AB144)/'EPA (2017) Table A3.6-7'!$AB144)*$B172</f>
        <v>8.9582222936025975</v>
      </c>
      <c r="AK172" s="324">
        <f>MAX(0,(('EPA (2017) Table A3.6-7'!$AB144-'EPA (2017) Table A3.6-7'!$C144)/COUNT('EPA (2017) Table A3.6-7'!$D$6:$AB$6)*(AK$160-$B$160)+'EPA (2017) Table A3.6-7'!$AB144)/'EPA (2017) Table A3.6-7'!$AB144)*$B172</f>
        <v>8.6757817311763379</v>
      </c>
    </row>
    <row r="173" spans="1:37" x14ac:dyDescent="0.25">
      <c r="A173" s="212" t="s">
        <v>1291</v>
      </c>
      <c r="B173" s="196">
        <v>12.496932088731516</v>
      </c>
      <c r="C173" s="324">
        <f>MAX(0,(('EPA (2017) Table A3.6-7'!$AB145-'EPA (2017) Table A3.6-7'!$C145)/COUNT('EPA (2017) Table A3.6-7'!$D$6:$AB$6)*(C$160-$B$160)+'EPA (2017) Table A3.6-7'!$AB145)/'EPA (2017) Table A3.6-7'!$AB145)*$B173</f>
        <v>12.798197723197855</v>
      </c>
      <c r="D173" s="324">
        <f>MAX(0,(('EPA (2017) Table A3.6-7'!$AB145-'EPA (2017) Table A3.6-7'!$C145)/COUNT('EPA (2017) Table A3.6-7'!$D$6:$AB$6)*(D$160-$B$160)+'EPA (2017) Table A3.6-7'!$AB145)/'EPA (2017) Table A3.6-7'!$AB145)*$B173</f>
        <v>13.099463357664192</v>
      </c>
      <c r="E173" s="324">
        <f>MAX(0,(('EPA (2017) Table A3.6-7'!$AB145-'EPA (2017) Table A3.6-7'!$C145)/COUNT('EPA (2017) Table A3.6-7'!$D$6:$AB$6)*(E$160-$B$160)+'EPA (2017) Table A3.6-7'!$AB145)/'EPA (2017) Table A3.6-7'!$AB145)*$B173</f>
        <v>13.400728992130531</v>
      </c>
      <c r="F173" s="324">
        <f>MAX(0,(('EPA (2017) Table A3.6-7'!$AB145-'EPA (2017) Table A3.6-7'!$C145)/COUNT('EPA (2017) Table A3.6-7'!$D$6:$AB$6)*(F$160-$B$160)+'EPA (2017) Table A3.6-7'!$AB145)/'EPA (2017) Table A3.6-7'!$AB145)*$B173</f>
        <v>13.701994626596868</v>
      </c>
      <c r="G173" s="324">
        <f>MAX(0,(('EPA (2017) Table A3.6-7'!$AB145-'EPA (2017) Table A3.6-7'!$C145)/COUNT('EPA (2017) Table A3.6-7'!$D$6:$AB$6)*(G$160-$B$160)+'EPA (2017) Table A3.6-7'!$AB145)/'EPA (2017) Table A3.6-7'!$AB145)*$B173</f>
        <v>14.003260261063208</v>
      </c>
      <c r="H173" s="324">
        <f>MAX(0,(('EPA (2017) Table A3.6-7'!$AB145-'EPA (2017) Table A3.6-7'!$C145)/COUNT('EPA (2017) Table A3.6-7'!$D$6:$AB$6)*(H$160-$B$160)+'EPA (2017) Table A3.6-7'!$AB145)/'EPA (2017) Table A3.6-7'!$AB145)*$B173</f>
        <v>14.304525895529546</v>
      </c>
      <c r="I173" s="324">
        <f>MAX(0,(('EPA (2017) Table A3.6-7'!$AB145-'EPA (2017) Table A3.6-7'!$C145)/COUNT('EPA (2017) Table A3.6-7'!$D$6:$AB$6)*(I$160-$B$160)+'EPA (2017) Table A3.6-7'!$AB145)/'EPA (2017) Table A3.6-7'!$AB145)*$B173</f>
        <v>14.605791529995885</v>
      </c>
      <c r="J173" s="324">
        <f>MAX(0,(('EPA (2017) Table A3.6-7'!$AB145-'EPA (2017) Table A3.6-7'!$C145)/COUNT('EPA (2017) Table A3.6-7'!$D$6:$AB$6)*(J$160-$B$160)+'EPA (2017) Table A3.6-7'!$AB145)/'EPA (2017) Table A3.6-7'!$AB145)*$B173</f>
        <v>14.907057164462222</v>
      </c>
      <c r="K173" s="324">
        <f>MAX(0,(('EPA (2017) Table A3.6-7'!$AB145-'EPA (2017) Table A3.6-7'!$C145)/COUNT('EPA (2017) Table A3.6-7'!$D$6:$AB$6)*(K$160-$B$160)+'EPA (2017) Table A3.6-7'!$AB145)/'EPA (2017) Table A3.6-7'!$AB145)*$B173</f>
        <v>15.208322798928561</v>
      </c>
      <c r="L173" s="324">
        <f>MAX(0,(('EPA (2017) Table A3.6-7'!$AB145-'EPA (2017) Table A3.6-7'!$C145)/COUNT('EPA (2017) Table A3.6-7'!$D$6:$AB$6)*(L$160-$B$160)+'EPA (2017) Table A3.6-7'!$AB145)/'EPA (2017) Table A3.6-7'!$AB145)*$B173</f>
        <v>15.509588433394898</v>
      </c>
      <c r="M173" s="324">
        <f>MAX(0,(('EPA (2017) Table A3.6-7'!$AB145-'EPA (2017) Table A3.6-7'!$C145)/COUNT('EPA (2017) Table A3.6-7'!$D$6:$AB$6)*(M$160-$B$160)+'EPA (2017) Table A3.6-7'!$AB145)/'EPA (2017) Table A3.6-7'!$AB145)*$B173</f>
        <v>15.810854067861237</v>
      </c>
      <c r="N173" s="324">
        <f>MAX(0,(('EPA (2017) Table A3.6-7'!$AB145-'EPA (2017) Table A3.6-7'!$C145)/COUNT('EPA (2017) Table A3.6-7'!$D$6:$AB$6)*(N$160-$B$160)+'EPA (2017) Table A3.6-7'!$AB145)/'EPA (2017) Table A3.6-7'!$AB145)*$B173</f>
        <v>16.112119702327576</v>
      </c>
      <c r="O173" s="324">
        <f>MAX(0,(('EPA (2017) Table A3.6-7'!$AB145-'EPA (2017) Table A3.6-7'!$C145)/COUNT('EPA (2017) Table A3.6-7'!$D$6:$AB$6)*(O$160-$B$160)+'EPA (2017) Table A3.6-7'!$AB145)/'EPA (2017) Table A3.6-7'!$AB145)*$B173</f>
        <v>16.413385336793915</v>
      </c>
      <c r="P173" s="324">
        <f>MAX(0,(('EPA (2017) Table A3.6-7'!$AB145-'EPA (2017) Table A3.6-7'!$C145)/COUNT('EPA (2017) Table A3.6-7'!$D$6:$AB$6)*(P$160-$B$160)+'EPA (2017) Table A3.6-7'!$AB145)/'EPA (2017) Table A3.6-7'!$AB145)*$B173</f>
        <v>16.714650971260255</v>
      </c>
      <c r="Q173" s="324">
        <f>MAX(0,(('EPA (2017) Table A3.6-7'!$AB145-'EPA (2017) Table A3.6-7'!$C145)/COUNT('EPA (2017) Table A3.6-7'!$D$6:$AB$6)*(Q$160-$B$160)+'EPA (2017) Table A3.6-7'!$AB145)/'EPA (2017) Table A3.6-7'!$AB145)*$B173</f>
        <v>17.015916605726591</v>
      </c>
      <c r="R173" s="324">
        <f>MAX(0,(('EPA (2017) Table A3.6-7'!$AB145-'EPA (2017) Table A3.6-7'!$C145)/COUNT('EPA (2017) Table A3.6-7'!$D$6:$AB$6)*(R$160-$B$160)+'EPA (2017) Table A3.6-7'!$AB145)/'EPA (2017) Table A3.6-7'!$AB145)*$B173</f>
        <v>17.317182240192928</v>
      </c>
      <c r="S173" s="324">
        <f>MAX(0,(('EPA (2017) Table A3.6-7'!$AB145-'EPA (2017) Table A3.6-7'!$C145)/COUNT('EPA (2017) Table A3.6-7'!$D$6:$AB$6)*(S$160-$B$160)+'EPA (2017) Table A3.6-7'!$AB145)/'EPA (2017) Table A3.6-7'!$AB145)*$B173</f>
        <v>17.618447874659267</v>
      </c>
      <c r="T173" s="324">
        <f>MAX(0,(('EPA (2017) Table A3.6-7'!$AB145-'EPA (2017) Table A3.6-7'!$C145)/COUNT('EPA (2017) Table A3.6-7'!$D$6:$AB$6)*(T$160-$B$160)+'EPA (2017) Table A3.6-7'!$AB145)/'EPA (2017) Table A3.6-7'!$AB145)*$B173</f>
        <v>17.919713509125607</v>
      </c>
      <c r="U173" s="324">
        <f>MAX(0,(('EPA (2017) Table A3.6-7'!$AB145-'EPA (2017) Table A3.6-7'!$C145)/COUNT('EPA (2017) Table A3.6-7'!$D$6:$AB$6)*(U$160-$B$160)+'EPA (2017) Table A3.6-7'!$AB145)/'EPA (2017) Table A3.6-7'!$AB145)*$B173</f>
        <v>18.220979143591947</v>
      </c>
      <c r="V173" s="324">
        <f>MAX(0,(('EPA (2017) Table A3.6-7'!$AB145-'EPA (2017) Table A3.6-7'!$C145)/COUNT('EPA (2017) Table A3.6-7'!$D$6:$AB$6)*(V$160-$B$160)+'EPA (2017) Table A3.6-7'!$AB145)/'EPA (2017) Table A3.6-7'!$AB145)*$B173</f>
        <v>18.52224477805828</v>
      </c>
      <c r="W173" s="324">
        <f>MAX(0,(('EPA (2017) Table A3.6-7'!$AB145-'EPA (2017) Table A3.6-7'!$C145)/COUNT('EPA (2017) Table A3.6-7'!$D$6:$AB$6)*(W$160-$B$160)+'EPA (2017) Table A3.6-7'!$AB145)/'EPA (2017) Table A3.6-7'!$AB145)*$B173</f>
        <v>18.82351041252462</v>
      </c>
      <c r="X173" s="324">
        <f>MAX(0,(('EPA (2017) Table A3.6-7'!$AB145-'EPA (2017) Table A3.6-7'!$C145)/COUNT('EPA (2017) Table A3.6-7'!$D$6:$AB$6)*(X$160-$B$160)+'EPA (2017) Table A3.6-7'!$AB145)/'EPA (2017) Table A3.6-7'!$AB145)*$B173</f>
        <v>19.124776046990959</v>
      </c>
      <c r="Y173" s="324">
        <f>MAX(0,(('EPA (2017) Table A3.6-7'!$AB145-'EPA (2017) Table A3.6-7'!$C145)/COUNT('EPA (2017) Table A3.6-7'!$D$6:$AB$6)*(Y$160-$B$160)+'EPA (2017) Table A3.6-7'!$AB145)/'EPA (2017) Table A3.6-7'!$AB145)*$B173</f>
        <v>19.426041681457292</v>
      </c>
      <c r="Z173" s="324">
        <f>MAX(0,(('EPA (2017) Table A3.6-7'!$AB145-'EPA (2017) Table A3.6-7'!$C145)/COUNT('EPA (2017) Table A3.6-7'!$D$6:$AB$6)*(Z$160-$B$160)+'EPA (2017) Table A3.6-7'!$AB145)/'EPA (2017) Table A3.6-7'!$AB145)*$B173</f>
        <v>19.727307315923632</v>
      </c>
      <c r="AA173" s="324">
        <f>MAX(0,(('EPA (2017) Table A3.6-7'!$AB145-'EPA (2017) Table A3.6-7'!$C145)/COUNT('EPA (2017) Table A3.6-7'!$D$6:$AB$6)*(AA$160-$B$160)+'EPA (2017) Table A3.6-7'!$AB145)/'EPA (2017) Table A3.6-7'!$AB145)*$B173</f>
        <v>20.028572950389972</v>
      </c>
      <c r="AB173" s="324">
        <f>MAX(0,(('EPA (2017) Table A3.6-7'!$AB145-'EPA (2017) Table A3.6-7'!$C145)/COUNT('EPA (2017) Table A3.6-7'!$D$6:$AB$6)*(AB$160-$B$160)+'EPA (2017) Table A3.6-7'!$AB145)/'EPA (2017) Table A3.6-7'!$AB145)*$B173</f>
        <v>20.329838584856311</v>
      </c>
      <c r="AC173" s="324">
        <f>MAX(0,(('EPA (2017) Table A3.6-7'!$AB145-'EPA (2017) Table A3.6-7'!$C145)/COUNT('EPA (2017) Table A3.6-7'!$D$6:$AB$6)*(AC$160-$B$160)+'EPA (2017) Table A3.6-7'!$AB145)/'EPA (2017) Table A3.6-7'!$AB145)*$B173</f>
        <v>20.631104219322651</v>
      </c>
      <c r="AD173" s="324">
        <f>MAX(0,(('EPA (2017) Table A3.6-7'!$AB145-'EPA (2017) Table A3.6-7'!$C145)/COUNT('EPA (2017) Table A3.6-7'!$D$6:$AB$6)*(AD$160-$B$160)+'EPA (2017) Table A3.6-7'!$AB145)/'EPA (2017) Table A3.6-7'!$AB145)*$B173</f>
        <v>20.932369853788991</v>
      </c>
      <c r="AE173" s="324">
        <f>MAX(0,(('EPA (2017) Table A3.6-7'!$AB145-'EPA (2017) Table A3.6-7'!$C145)/COUNT('EPA (2017) Table A3.6-7'!$D$6:$AB$6)*(AE$160-$B$160)+'EPA (2017) Table A3.6-7'!$AB145)/'EPA (2017) Table A3.6-7'!$AB145)*$B173</f>
        <v>21.233635488255327</v>
      </c>
      <c r="AF173" s="324">
        <f>MAX(0,(('EPA (2017) Table A3.6-7'!$AB145-'EPA (2017) Table A3.6-7'!$C145)/COUNT('EPA (2017) Table A3.6-7'!$D$6:$AB$6)*(AF$160-$B$160)+'EPA (2017) Table A3.6-7'!$AB145)/'EPA (2017) Table A3.6-7'!$AB145)*$B173</f>
        <v>21.534901122721667</v>
      </c>
      <c r="AG173" s="324">
        <f>MAX(0,(('EPA (2017) Table A3.6-7'!$AB145-'EPA (2017) Table A3.6-7'!$C145)/COUNT('EPA (2017) Table A3.6-7'!$D$6:$AB$6)*(AG$160-$B$160)+'EPA (2017) Table A3.6-7'!$AB145)/'EPA (2017) Table A3.6-7'!$AB145)*$B173</f>
        <v>21.836166757188003</v>
      </c>
      <c r="AH173" s="324">
        <f>MAX(0,(('EPA (2017) Table A3.6-7'!$AB145-'EPA (2017) Table A3.6-7'!$C145)/COUNT('EPA (2017) Table A3.6-7'!$D$6:$AB$6)*(AH$160-$B$160)+'EPA (2017) Table A3.6-7'!$AB145)/'EPA (2017) Table A3.6-7'!$AB145)*$B173</f>
        <v>22.13743239165434</v>
      </c>
      <c r="AI173" s="324">
        <f>MAX(0,(('EPA (2017) Table A3.6-7'!$AB145-'EPA (2017) Table A3.6-7'!$C145)/COUNT('EPA (2017) Table A3.6-7'!$D$6:$AB$6)*(AI$160-$B$160)+'EPA (2017) Table A3.6-7'!$AB145)/'EPA (2017) Table A3.6-7'!$AB145)*$B173</f>
        <v>22.438698026120679</v>
      </c>
      <c r="AJ173" s="324">
        <f>MAX(0,(('EPA (2017) Table A3.6-7'!$AB145-'EPA (2017) Table A3.6-7'!$C145)/COUNT('EPA (2017) Table A3.6-7'!$D$6:$AB$6)*(AJ$160-$B$160)+'EPA (2017) Table A3.6-7'!$AB145)/'EPA (2017) Table A3.6-7'!$AB145)*$B173</f>
        <v>22.739963660587019</v>
      </c>
      <c r="AK173" s="324">
        <f>MAX(0,(('EPA (2017) Table A3.6-7'!$AB145-'EPA (2017) Table A3.6-7'!$C145)/COUNT('EPA (2017) Table A3.6-7'!$D$6:$AB$6)*(AK$160-$B$160)+'EPA (2017) Table A3.6-7'!$AB145)/'EPA (2017) Table A3.6-7'!$AB145)*$B173</f>
        <v>23.041229295053359</v>
      </c>
    </row>
    <row r="174" spans="1:37" x14ac:dyDescent="0.25">
      <c r="A174" s="206" t="s">
        <v>1292</v>
      </c>
      <c r="B174" s="195">
        <v>4.3859417012468827</v>
      </c>
      <c r="C174" s="324">
        <f>MAX(0,(('EPA (2017) Table A3.6-7'!$AB146-'EPA (2017) Table A3.6-7'!$C146)/COUNT('EPA (2017) Table A3.6-7'!$D$6:$AB$6)*(C$160-$B$160)+'EPA (2017) Table A3.6-7'!$AB146)/'EPA (2017) Table A3.6-7'!$AB146)*$B174</f>
        <v>4.2502166344633592</v>
      </c>
      <c r="D174" s="324">
        <f>MAX(0,(('EPA (2017) Table A3.6-7'!$AB146-'EPA (2017) Table A3.6-7'!$C146)/COUNT('EPA (2017) Table A3.6-7'!$D$6:$AB$6)*(D$160-$B$160)+'EPA (2017) Table A3.6-7'!$AB146)/'EPA (2017) Table A3.6-7'!$AB146)*$B174</f>
        <v>4.1144915676798357</v>
      </c>
      <c r="E174" s="324">
        <f>MAX(0,(('EPA (2017) Table A3.6-7'!$AB146-'EPA (2017) Table A3.6-7'!$C146)/COUNT('EPA (2017) Table A3.6-7'!$D$6:$AB$6)*(E$160-$B$160)+'EPA (2017) Table A3.6-7'!$AB146)/'EPA (2017) Table A3.6-7'!$AB146)*$B174</f>
        <v>3.9787665008963122</v>
      </c>
      <c r="F174" s="324">
        <f>MAX(0,(('EPA (2017) Table A3.6-7'!$AB146-'EPA (2017) Table A3.6-7'!$C146)/COUNT('EPA (2017) Table A3.6-7'!$D$6:$AB$6)*(F$160-$B$160)+'EPA (2017) Table A3.6-7'!$AB146)/'EPA (2017) Table A3.6-7'!$AB146)*$B174</f>
        <v>3.8430414341127896</v>
      </c>
      <c r="G174" s="324">
        <f>MAX(0,(('EPA (2017) Table A3.6-7'!$AB146-'EPA (2017) Table A3.6-7'!$C146)/COUNT('EPA (2017) Table A3.6-7'!$D$6:$AB$6)*(G$160-$B$160)+'EPA (2017) Table A3.6-7'!$AB146)/'EPA (2017) Table A3.6-7'!$AB146)*$B174</f>
        <v>3.7073163673292657</v>
      </c>
      <c r="H174" s="324">
        <f>MAX(0,(('EPA (2017) Table A3.6-7'!$AB146-'EPA (2017) Table A3.6-7'!$C146)/COUNT('EPA (2017) Table A3.6-7'!$D$6:$AB$6)*(H$160-$B$160)+'EPA (2017) Table A3.6-7'!$AB146)/'EPA (2017) Table A3.6-7'!$AB146)*$B174</f>
        <v>3.5715913005457423</v>
      </c>
      <c r="I174" s="324">
        <f>MAX(0,(('EPA (2017) Table A3.6-7'!$AB146-'EPA (2017) Table A3.6-7'!$C146)/COUNT('EPA (2017) Table A3.6-7'!$D$6:$AB$6)*(I$160-$B$160)+'EPA (2017) Table A3.6-7'!$AB146)/'EPA (2017) Table A3.6-7'!$AB146)*$B174</f>
        <v>3.4358662337622188</v>
      </c>
      <c r="J174" s="324">
        <f>MAX(0,(('EPA (2017) Table A3.6-7'!$AB146-'EPA (2017) Table A3.6-7'!$C146)/COUNT('EPA (2017) Table A3.6-7'!$D$6:$AB$6)*(J$160-$B$160)+'EPA (2017) Table A3.6-7'!$AB146)/'EPA (2017) Table A3.6-7'!$AB146)*$B174</f>
        <v>3.3001411669786953</v>
      </c>
      <c r="K174" s="324">
        <f>MAX(0,(('EPA (2017) Table A3.6-7'!$AB146-'EPA (2017) Table A3.6-7'!$C146)/COUNT('EPA (2017) Table A3.6-7'!$D$6:$AB$6)*(K$160-$B$160)+'EPA (2017) Table A3.6-7'!$AB146)/'EPA (2017) Table A3.6-7'!$AB146)*$B174</f>
        <v>3.1644161001951727</v>
      </c>
      <c r="L174" s="324">
        <f>MAX(0,(('EPA (2017) Table A3.6-7'!$AB146-'EPA (2017) Table A3.6-7'!$C146)/COUNT('EPA (2017) Table A3.6-7'!$D$6:$AB$6)*(L$160-$B$160)+'EPA (2017) Table A3.6-7'!$AB146)/'EPA (2017) Table A3.6-7'!$AB146)*$B174</f>
        <v>3.0286910334116492</v>
      </c>
      <c r="M174" s="324">
        <f>MAX(0,(('EPA (2017) Table A3.6-7'!$AB146-'EPA (2017) Table A3.6-7'!$C146)/COUNT('EPA (2017) Table A3.6-7'!$D$6:$AB$6)*(M$160-$B$160)+'EPA (2017) Table A3.6-7'!$AB146)/'EPA (2017) Table A3.6-7'!$AB146)*$B174</f>
        <v>2.8929659666281258</v>
      </c>
      <c r="N174" s="324">
        <f>MAX(0,(('EPA (2017) Table A3.6-7'!$AB146-'EPA (2017) Table A3.6-7'!$C146)/COUNT('EPA (2017) Table A3.6-7'!$D$6:$AB$6)*(N$160-$B$160)+'EPA (2017) Table A3.6-7'!$AB146)/'EPA (2017) Table A3.6-7'!$AB146)*$B174</f>
        <v>2.7572408998446023</v>
      </c>
      <c r="O174" s="324">
        <f>MAX(0,(('EPA (2017) Table A3.6-7'!$AB146-'EPA (2017) Table A3.6-7'!$C146)/COUNT('EPA (2017) Table A3.6-7'!$D$6:$AB$6)*(O$160-$B$160)+'EPA (2017) Table A3.6-7'!$AB146)/'EPA (2017) Table A3.6-7'!$AB146)*$B174</f>
        <v>2.6215158330610784</v>
      </c>
      <c r="P174" s="324">
        <f>MAX(0,(('EPA (2017) Table A3.6-7'!$AB146-'EPA (2017) Table A3.6-7'!$C146)/COUNT('EPA (2017) Table A3.6-7'!$D$6:$AB$6)*(P$160-$B$160)+'EPA (2017) Table A3.6-7'!$AB146)/'EPA (2017) Table A3.6-7'!$AB146)*$B174</f>
        <v>2.4857907662775549</v>
      </c>
      <c r="Q174" s="324">
        <f>MAX(0,(('EPA (2017) Table A3.6-7'!$AB146-'EPA (2017) Table A3.6-7'!$C146)/COUNT('EPA (2017) Table A3.6-7'!$D$6:$AB$6)*(Q$160-$B$160)+'EPA (2017) Table A3.6-7'!$AB146)/'EPA (2017) Table A3.6-7'!$AB146)*$B174</f>
        <v>2.3500656994940319</v>
      </c>
      <c r="R174" s="324">
        <f>MAX(0,(('EPA (2017) Table A3.6-7'!$AB146-'EPA (2017) Table A3.6-7'!$C146)/COUNT('EPA (2017) Table A3.6-7'!$D$6:$AB$6)*(R$160-$B$160)+'EPA (2017) Table A3.6-7'!$AB146)/'EPA (2017) Table A3.6-7'!$AB146)*$B174</f>
        <v>2.2143406327105084</v>
      </c>
      <c r="S174" s="324">
        <f>MAX(0,(('EPA (2017) Table A3.6-7'!$AB146-'EPA (2017) Table A3.6-7'!$C146)/COUNT('EPA (2017) Table A3.6-7'!$D$6:$AB$6)*(S$160-$B$160)+'EPA (2017) Table A3.6-7'!$AB146)/'EPA (2017) Table A3.6-7'!$AB146)*$B174</f>
        <v>2.0786155659269849</v>
      </c>
      <c r="T174" s="324">
        <f>MAX(0,(('EPA (2017) Table A3.6-7'!$AB146-'EPA (2017) Table A3.6-7'!$C146)/COUNT('EPA (2017) Table A3.6-7'!$D$6:$AB$6)*(T$160-$B$160)+'EPA (2017) Table A3.6-7'!$AB146)/'EPA (2017) Table A3.6-7'!$AB146)*$B174</f>
        <v>1.9428904991434619</v>
      </c>
      <c r="U174" s="324">
        <f>MAX(0,(('EPA (2017) Table A3.6-7'!$AB146-'EPA (2017) Table A3.6-7'!$C146)/COUNT('EPA (2017) Table A3.6-7'!$D$6:$AB$6)*(U$160-$B$160)+'EPA (2017) Table A3.6-7'!$AB146)/'EPA (2017) Table A3.6-7'!$AB146)*$B174</f>
        <v>1.8071654323599382</v>
      </c>
      <c r="V174" s="324">
        <f>MAX(0,(('EPA (2017) Table A3.6-7'!$AB146-'EPA (2017) Table A3.6-7'!$C146)/COUNT('EPA (2017) Table A3.6-7'!$D$6:$AB$6)*(V$160-$B$160)+'EPA (2017) Table A3.6-7'!$AB146)/'EPA (2017) Table A3.6-7'!$AB146)*$B174</f>
        <v>1.6714403655764147</v>
      </c>
      <c r="W174" s="324">
        <f>MAX(0,(('EPA (2017) Table A3.6-7'!$AB146-'EPA (2017) Table A3.6-7'!$C146)/COUNT('EPA (2017) Table A3.6-7'!$D$6:$AB$6)*(W$160-$B$160)+'EPA (2017) Table A3.6-7'!$AB146)/'EPA (2017) Table A3.6-7'!$AB146)*$B174</f>
        <v>1.5357152987928915</v>
      </c>
      <c r="X174" s="324">
        <f>MAX(0,(('EPA (2017) Table A3.6-7'!$AB146-'EPA (2017) Table A3.6-7'!$C146)/COUNT('EPA (2017) Table A3.6-7'!$D$6:$AB$6)*(X$160-$B$160)+'EPA (2017) Table A3.6-7'!$AB146)/'EPA (2017) Table A3.6-7'!$AB146)*$B174</f>
        <v>1.3999902320093678</v>
      </c>
      <c r="Y174" s="324">
        <f>MAX(0,(('EPA (2017) Table A3.6-7'!$AB146-'EPA (2017) Table A3.6-7'!$C146)/COUNT('EPA (2017) Table A3.6-7'!$D$6:$AB$6)*(Y$160-$B$160)+'EPA (2017) Table A3.6-7'!$AB146)/'EPA (2017) Table A3.6-7'!$AB146)*$B174</f>
        <v>1.264265165225845</v>
      </c>
      <c r="Z174" s="324">
        <f>MAX(0,(('EPA (2017) Table A3.6-7'!$AB146-'EPA (2017) Table A3.6-7'!$C146)/COUNT('EPA (2017) Table A3.6-7'!$D$6:$AB$6)*(Z$160-$B$160)+'EPA (2017) Table A3.6-7'!$AB146)/'EPA (2017) Table A3.6-7'!$AB146)*$B174</f>
        <v>1.1285400984423215</v>
      </c>
      <c r="AA174" s="324">
        <f>MAX(0,(('EPA (2017) Table A3.6-7'!$AB146-'EPA (2017) Table A3.6-7'!$C146)/COUNT('EPA (2017) Table A3.6-7'!$D$6:$AB$6)*(AA$160-$B$160)+'EPA (2017) Table A3.6-7'!$AB146)/'EPA (2017) Table A3.6-7'!$AB146)*$B174</f>
        <v>0.99281503165879792</v>
      </c>
      <c r="AB174" s="324">
        <f>MAX(0,(('EPA (2017) Table A3.6-7'!$AB146-'EPA (2017) Table A3.6-7'!$C146)/COUNT('EPA (2017) Table A3.6-7'!$D$6:$AB$6)*(AB$160-$B$160)+'EPA (2017) Table A3.6-7'!$AB146)/'EPA (2017) Table A3.6-7'!$AB146)*$B174</f>
        <v>0.85708996487527456</v>
      </c>
      <c r="AC174" s="324">
        <f>MAX(0,(('EPA (2017) Table A3.6-7'!$AB146-'EPA (2017) Table A3.6-7'!$C146)/COUNT('EPA (2017) Table A3.6-7'!$D$6:$AB$6)*(AC$160-$B$160)+'EPA (2017) Table A3.6-7'!$AB146)/'EPA (2017) Table A3.6-7'!$AB146)*$B174</f>
        <v>0.72136489809175097</v>
      </c>
      <c r="AD174" s="324">
        <f>MAX(0,(('EPA (2017) Table A3.6-7'!$AB146-'EPA (2017) Table A3.6-7'!$C146)/COUNT('EPA (2017) Table A3.6-7'!$D$6:$AB$6)*(AD$160-$B$160)+'EPA (2017) Table A3.6-7'!$AB146)/'EPA (2017) Table A3.6-7'!$AB146)*$B174</f>
        <v>0.58563983130822761</v>
      </c>
      <c r="AE174" s="324">
        <f>MAX(0,(('EPA (2017) Table A3.6-7'!$AB146-'EPA (2017) Table A3.6-7'!$C146)/COUNT('EPA (2017) Table A3.6-7'!$D$6:$AB$6)*(AE$160-$B$160)+'EPA (2017) Table A3.6-7'!$AB146)/'EPA (2017) Table A3.6-7'!$AB146)*$B174</f>
        <v>0.44991476452470464</v>
      </c>
      <c r="AF174" s="324">
        <f>MAX(0,(('EPA (2017) Table A3.6-7'!$AB146-'EPA (2017) Table A3.6-7'!$C146)/COUNT('EPA (2017) Table A3.6-7'!$D$6:$AB$6)*(AF$160-$B$160)+'EPA (2017) Table A3.6-7'!$AB146)/'EPA (2017) Table A3.6-7'!$AB146)*$B174</f>
        <v>0.31418969774118116</v>
      </c>
      <c r="AG174" s="324">
        <f>MAX(0,(('EPA (2017) Table A3.6-7'!$AB146-'EPA (2017) Table A3.6-7'!$C146)/COUNT('EPA (2017) Table A3.6-7'!$D$6:$AB$6)*(AG$160-$B$160)+'EPA (2017) Table A3.6-7'!$AB146)/'EPA (2017) Table A3.6-7'!$AB146)*$B174</f>
        <v>0.17846463095765769</v>
      </c>
      <c r="AH174" s="324">
        <f>MAX(0,(('EPA (2017) Table A3.6-7'!$AB146-'EPA (2017) Table A3.6-7'!$C146)/COUNT('EPA (2017) Table A3.6-7'!$D$6:$AB$6)*(AH$160-$B$160)+'EPA (2017) Table A3.6-7'!$AB146)/'EPA (2017) Table A3.6-7'!$AB146)*$B174</f>
        <v>4.2739564174134222E-2</v>
      </c>
      <c r="AI174" s="324">
        <f>MAX(0,(('EPA (2017) Table A3.6-7'!$AB146-'EPA (2017) Table A3.6-7'!$C146)/COUNT('EPA (2017) Table A3.6-7'!$D$6:$AB$6)*(AI$160-$B$160)+'EPA (2017) Table A3.6-7'!$AB146)/'EPA (2017) Table A3.6-7'!$AB146)*$B174</f>
        <v>0</v>
      </c>
      <c r="AJ174" s="324">
        <f>MAX(0,(('EPA (2017) Table A3.6-7'!$AB146-'EPA (2017) Table A3.6-7'!$C146)/COUNT('EPA (2017) Table A3.6-7'!$D$6:$AB$6)*(AJ$160-$B$160)+'EPA (2017) Table A3.6-7'!$AB146)/'EPA (2017) Table A3.6-7'!$AB146)*$B174</f>
        <v>0</v>
      </c>
      <c r="AK174" s="324">
        <f>MAX(0,(('EPA (2017) Table A3.6-7'!$AB146-'EPA (2017) Table A3.6-7'!$C146)/COUNT('EPA (2017) Table A3.6-7'!$D$6:$AB$6)*(AK$160-$B$160)+'EPA (2017) Table A3.6-7'!$AB146)/'EPA (2017) Table A3.6-7'!$AB146)*$B174</f>
        <v>0</v>
      </c>
    </row>
    <row r="175" spans="1:37" x14ac:dyDescent="0.25">
      <c r="A175" s="207" t="s">
        <v>1293</v>
      </c>
      <c r="B175" s="191"/>
      <c r="C175" s="191" t="str">
        <f>IF(B175="","",$B175*'AEO 2018_Table 13'!C$36/'AEO 2018_Table 13'!$C$36)</f>
        <v/>
      </c>
      <c r="D175" s="191" t="str">
        <f>IF(C175="","",$B175*'AEO 2018_Table 13'!D$36/'AEO 2018_Table 13'!$C$36)</f>
        <v/>
      </c>
      <c r="E175" s="191" t="str">
        <f>IF(D175="","",$B175*'AEO 2018_Table 13'!E$36/'AEO 2018_Table 13'!$C$36)</f>
        <v/>
      </c>
      <c r="F175" s="191" t="str">
        <f>IF(E175="","",$B175*'AEO 2018_Table 13'!F$36/'AEO 2018_Table 13'!$C$36)</f>
        <v/>
      </c>
      <c r="G175" s="191" t="str">
        <f>IF(F175="","",$B175*'AEO 2018_Table 13'!G$36/'AEO 2018_Table 13'!$C$36)</f>
        <v/>
      </c>
      <c r="H175" s="191" t="str">
        <f>IF(G175="","",$B175*'AEO 2018_Table 13'!H$36/'AEO 2018_Table 13'!$C$36)</f>
        <v/>
      </c>
      <c r="I175" s="191" t="str">
        <f>IF(H175="","",$B175*'AEO 2018_Table 13'!I$36/'AEO 2018_Table 13'!$C$36)</f>
        <v/>
      </c>
      <c r="J175" s="191" t="str">
        <f>IF(I175="","",$B175*'AEO 2018_Table 13'!J$36/'AEO 2018_Table 13'!$C$36)</f>
        <v/>
      </c>
      <c r="K175" s="191" t="str">
        <f>IF(J175="","",$B175*'AEO 2018_Table 13'!K$36/'AEO 2018_Table 13'!$C$36)</f>
        <v/>
      </c>
      <c r="L175" s="191" t="str">
        <f>IF(K175="","",$B175*'AEO 2018_Table 13'!L$36/'AEO 2018_Table 13'!$C$36)</f>
        <v/>
      </c>
      <c r="M175" s="191" t="str">
        <f>IF(L175="","",$B175*'AEO 2018_Table 13'!M$36/'AEO 2018_Table 13'!$C$36)</f>
        <v/>
      </c>
      <c r="N175" s="191" t="str">
        <f>IF(M175="","",$B175*'AEO 2018_Table 13'!N$36/'AEO 2018_Table 13'!$C$36)</f>
        <v/>
      </c>
      <c r="O175" s="191" t="str">
        <f>IF(N175="","",$B175*'AEO 2018_Table 13'!O$36/'AEO 2018_Table 13'!$C$36)</f>
        <v/>
      </c>
      <c r="P175" s="191" t="str">
        <f>IF(O175="","",$B175*'AEO 2018_Table 13'!P$36/'AEO 2018_Table 13'!$C$36)</f>
        <v/>
      </c>
      <c r="Q175" s="191" t="str">
        <f>IF(P175="","",$B175*'AEO 2018_Table 13'!Q$36/'AEO 2018_Table 13'!$C$36)</f>
        <v/>
      </c>
      <c r="R175" s="191" t="str">
        <f>IF(Q175="","",$B175*'AEO 2018_Table 13'!R$36/'AEO 2018_Table 13'!$C$36)</f>
        <v/>
      </c>
      <c r="S175" s="191" t="str">
        <f>IF(R175="","",$B175*'AEO 2018_Table 13'!S$36/'AEO 2018_Table 13'!$C$36)</f>
        <v/>
      </c>
      <c r="T175" s="191" t="str">
        <f>IF(S175="","",$B175*'AEO 2018_Table 13'!T$36/'AEO 2018_Table 13'!$C$36)</f>
        <v/>
      </c>
      <c r="U175" s="191" t="str">
        <f>IF(T175="","",$B175*'AEO 2018_Table 13'!U$36/'AEO 2018_Table 13'!$C$36)</f>
        <v/>
      </c>
      <c r="V175" s="191" t="str">
        <f>IF(U175="","",$B175*'AEO 2018_Table 13'!V$36/'AEO 2018_Table 13'!$C$36)</f>
        <v/>
      </c>
      <c r="W175" s="191" t="str">
        <f>IF(V175="","",$B175*'AEO 2018_Table 13'!W$36/'AEO 2018_Table 13'!$C$36)</f>
        <v/>
      </c>
      <c r="X175" s="191" t="str">
        <f>IF(W175="","",$B175*'AEO 2018_Table 13'!X$36/'AEO 2018_Table 13'!$C$36)</f>
        <v/>
      </c>
      <c r="Y175" s="191" t="str">
        <f>IF(X175="","",$B175*'AEO 2018_Table 13'!Y$36/'AEO 2018_Table 13'!$C$36)</f>
        <v/>
      </c>
      <c r="Z175" s="191" t="str">
        <f>IF(Y175="","",$B175*'AEO 2018_Table 13'!Z$36/'AEO 2018_Table 13'!$C$36)</f>
        <v/>
      </c>
      <c r="AA175" s="191" t="str">
        <f>IF(Z175="","",$B175*'AEO 2018_Table 13'!AA$36/'AEO 2018_Table 13'!$C$36)</f>
        <v/>
      </c>
      <c r="AB175" s="191" t="str">
        <f>IF(AA175="","",$B175*'AEO 2018_Table 13'!AB$36/'AEO 2018_Table 13'!$C$36)</f>
        <v/>
      </c>
      <c r="AC175" s="191" t="str">
        <f>IF(AB175="","",$B175*'AEO 2018_Table 13'!AC$36/'AEO 2018_Table 13'!$C$36)</f>
        <v/>
      </c>
      <c r="AD175" s="191" t="str">
        <f>IF(AC175="","",$B175*'AEO 2018_Table 13'!AD$36/'AEO 2018_Table 13'!$C$36)</f>
        <v/>
      </c>
      <c r="AE175" s="191" t="str">
        <f>IF(AD175="","",$B175*'AEO 2018_Table 13'!AE$36/'AEO 2018_Table 13'!$C$36)</f>
        <v/>
      </c>
      <c r="AF175" s="191" t="str">
        <f>IF(AE175="","",$B175*'AEO 2018_Table 13'!AF$36/'AEO 2018_Table 13'!$C$36)</f>
        <v/>
      </c>
      <c r="AG175" s="191" t="str">
        <f>IF(AF175="","",$B175*'AEO 2018_Table 13'!AG$36/'AEO 2018_Table 13'!$C$36)</f>
        <v/>
      </c>
      <c r="AH175" s="191" t="str">
        <f>IF(AG175="","",$B175*'AEO 2018_Table 13'!AH$36/'AEO 2018_Table 13'!$C$36)</f>
        <v/>
      </c>
      <c r="AI175" s="191" t="str">
        <f>IF(AH175="","",$B175*'AEO 2018_Table 13'!AI$36/'AEO 2018_Table 13'!$C$36)</f>
        <v/>
      </c>
      <c r="AJ175" s="191" t="str">
        <f>IF(AI175="","",$B175*'AEO 2018_Table 13'!AJ$36/'AEO 2018_Table 13'!$C$36)</f>
        <v/>
      </c>
      <c r="AK175" s="191" t="str">
        <f>IF(AJ175="","",$B175*'AEO 2018_Table 13'!AK$36/'AEO 2018_Table 13'!$C$36)</f>
        <v/>
      </c>
    </row>
    <row r="176" spans="1:37" x14ac:dyDescent="0.25">
      <c r="A176" s="240" t="s">
        <v>1294</v>
      </c>
      <c r="B176" s="193">
        <v>8.6264437173673851</v>
      </c>
      <c r="C176" s="193">
        <f>IF(B176="","",$B176*'AEO 2018_Table 13'!C$26/'AEO 2018_Table 13'!$C$26)</f>
        <v>8.6264437173673851</v>
      </c>
      <c r="D176" s="193">
        <f>IF(C176="","",$B176*'AEO 2018_Table 13'!D$26/'AEO 2018_Table 13'!$C$26)</f>
        <v>8.6978710545218831</v>
      </c>
      <c r="E176" s="193">
        <f>IF(D176="","",$B176*'AEO 2018_Table 13'!E$26/'AEO 2018_Table 13'!$C$26)</f>
        <v>9.4118823583985183</v>
      </c>
      <c r="F176" s="193">
        <f>IF(E176="","",$B176*'AEO 2018_Table 13'!F$26/'AEO 2018_Table 13'!$C$26)</f>
        <v>9.1660331050650345</v>
      </c>
      <c r="G176" s="193">
        <f>IF(F176="","",$B176*'AEO 2018_Table 13'!G$26/'AEO 2018_Table 13'!$C$26)</f>
        <v>9.1404636391503455</v>
      </c>
      <c r="H176" s="193">
        <f>IF(G176="","",$B176*'AEO 2018_Table 13'!H$26/'AEO 2018_Table 13'!$C$26)</f>
        <v>9.1221983168104792</v>
      </c>
      <c r="I176" s="193">
        <f>IF(H176="","",$B176*'AEO 2018_Table 13'!I$26/'AEO 2018_Table 13'!$C$26)</f>
        <v>9.1183129650910093</v>
      </c>
      <c r="J176" s="193">
        <f>IF(I176="","",$B176*'AEO 2018_Table 13'!J$26/'AEO 2018_Table 13'!$C$26)</f>
        <v>9.1124065157474092</v>
      </c>
      <c r="K176" s="193">
        <f>IF(J176="","",$B176*'AEO 2018_Table 13'!K$26/'AEO 2018_Table 13'!$C$26)</f>
        <v>9.0972959322334201</v>
      </c>
      <c r="L176" s="193">
        <f>IF(K176="","",$B176*'AEO 2018_Table 13'!L$26/'AEO 2018_Table 13'!$C$26)</f>
        <v>9.0833586971436517</v>
      </c>
      <c r="M176" s="193">
        <f>IF(L176="","",$B176*'AEO 2018_Table 13'!M$26/'AEO 2018_Table 13'!$C$26)</f>
        <v>9.080070939122475</v>
      </c>
      <c r="N176" s="193">
        <f>IF(M176="","",$B176*'AEO 2018_Table 13'!N$26/'AEO 2018_Table 13'!$C$26)</f>
        <v>9.079947846732793</v>
      </c>
      <c r="O176" s="193">
        <f>IF(N176="","",$B176*'AEO 2018_Table 13'!O$26/'AEO 2018_Table 13'!$C$26)</f>
        <v>9.0812125217687161</v>
      </c>
      <c r="P176" s="193">
        <f>IF(O176="","",$B176*'AEO 2018_Table 13'!P$26/'AEO 2018_Table 13'!$C$26)</f>
        <v>9.0762749286535804</v>
      </c>
      <c r="Q176" s="193">
        <f>IF(P176="","",$B176*'AEO 2018_Table 13'!Q$26/'AEO 2018_Table 13'!$C$26)</f>
        <v>9.0737515346651065</v>
      </c>
      <c r="R176" s="193">
        <f>IF(Q176="","",$B176*'AEO 2018_Table 13'!R$26/'AEO 2018_Table 13'!$C$26)</f>
        <v>9.0710673264255934</v>
      </c>
      <c r="S176" s="193">
        <f>IF(R176="","",$B176*'AEO 2018_Table 13'!S$26/'AEO 2018_Table 13'!$C$26)</f>
        <v>9.0636480319055863</v>
      </c>
      <c r="T176" s="193">
        <f>IF(S176="","",$B176*'AEO 2018_Table 13'!T$26/'AEO 2018_Table 13'!$C$26)</f>
        <v>9.0541957275947045</v>
      </c>
      <c r="U176" s="193">
        <f>IF(T176="","",$B176*'AEO 2018_Table 13'!U$26/'AEO 2018_Table 13'!$C$26)</f>
        <v>9.0432603585242699</v>
      </c>
      <c r="V176" s="193">
        <f>IF(U176="","",$B176*'AEO 2018_Table 13'!V$26/'AEO 2018_Table 13'!$C$26)</f>
        <v>9.0343857943004462</v>
      </c>
      <c r="W176" s="193">
        <f>IF(V176="","",$B176*'AEO 2018_Table 13'!W$26/'AEO 2018_Table 13'!$C$26)</f>
        <v>9.0193288155367988</v>
      </c>
      <c r="X176" s="193">
        <f>IF(W176="","",$B176*'AEO 2018_Table 13'!X$26/'AEO 2018_Table 13'!$C$26)</f>
        <v>9.0035987993521491</v>
      </c>
      <c r="Y176" s="193">
        <f>IF(X176="","",$B176*'AEO 2018_Table 13'!Y$26/'AEO 2018_Table 13'!$C$26)</f>
        <v>8.9881646019749617</v>
      </c>
      <c r="Z176" s="193">
        <f>IF(Y176="","",$B176*'AEO 2018_Table 13'!Z$26/'AEO 2018_Table 13'!$C$26)</f>
        <v>8.9766514928174743</v>
      </c>
      <c r="AA176" s="193">
        <f>IF(Z176="","",$B176*'AEO 2018_Table 13'!AA$26/'AEO 2018_Table 13'!$C$26)</f>
        <v>8.9705643756116018</v>
      </c>
      <c r="AB176" s="193">
        <f>IF(AA176="","",$B176*'AEO 2018_Table 13'!AB$26/'AEO 2018_Table 13'!$C$26)</f>
        <v>8.9675704510367638</v>
      </c>
      <c r="AC176" s="193">
        <f>IF(AB176="","",$B176*'AEO 2018_Table 13'!AC$26/'AEO 2018_Table 13'!$C$26)</f>
        <v>8.9647988869078006</v>
      </c>
      <c r="AD176" s="193">
        <f>IF(AC176="","",$B176*'AEO 2018_Table 13'!AD$26/'AEO 2018_Table 13'!$C$26)</f>
        <v>8.9665062974743517</v>
      </c>
      <c r="AE176" s="193">
        <f>IF(AD176="","",$B176*'AEO 2018_Table 13'!AE$26/'AEO 2018_Table 13'!$C$26)</f>
        <v>8.9728415848207135</v>
      </c>
      <c r="AF176" s="193">
        <f>IF(AE176="","",$B176*'AEO 2018_Table 13'!AF$26/'AEO 2018_Table 13'!$C$26)</f>
        <v>8.9786130296078852</v>
      </c>
      <c r="AG176" s="193">
        <f>IF(AF176="","",$B176*'AEO 2018_Table 13'!AG$26/'AEO 2018_Table 13'!$C$26)</f>
        <v>8.9849800827322301</v>
      </c>
      <c r="AH176" s="193">
        <f>IF(AG176="","",$B176*'AEO 2018_Table 13'!AH$26/'AEO 2018_Table 13'!$C$26)</f>
        <v>8.9912776482172347</v>
      </c>
      <c r="AI176" s="193">
        <f>IF(AH176="","",$B176*'AEO 2018_Table 13'!AI$26/'AEO 2018_Table 13'!$C$26)</f>
        <v>8.9974282969790718</v>
      </c>
      <c r="AJ176" s="193">
        <f>IF(AI176="","",$B176*'AEO 2018_Table 13'!AJ$26/'AEO 2018_Table 13'!$C$26)</f>
        <v>9.001968817869427</v>
      </c>
      <c r="AK176" s="193">
        <f>IF(AJ176="","",$B176*'AEO 2018_Table 13'!AK$26/'AEO 2018_Table 13'!$C$26)</f>
        <v>9.0049468595552771</v>
      </c>
    </row>
    <row r="177" spans="1:37" x14ac:dyDescent="0.25">
      <c r="A177" s="212" t="s">
        <v>1295</v>
      </c>
      <c r="B177" s="196">
        <v>14.625028604744672</v>
      </c>
      <c r="C177" s="193">
        <f>IF(B177="","",$B177*'AEO 2018_Table 13'!C$26/'AEO 2018_Table 13'!$C$26)</f>
        <v>14.625028604744672</v>
      </c>
      <c r="D177" s="193">
        <f>IF(C177="","",$B177*'AEO 2018_Table 13'!D$26/'AEO 2018_Table 13'!$C$26)</f>
        <v>14.746124491215499</v>
      </c>
      <c r="E177" s="193">
        <f>IF(D177="","",$B177*'AEO 2018_Table 13'!E$26/'AEO 2018_Table 13'!$C$26)</f>
        <v>15.956639053813682</v>
      </c>
      <c r="F177" s="193">
        <f>IF(E177="","",$B177*'AEO 2018_Table 13'!F$26/'AEO 2018_Table 13'!$C$26)</f>
        <v>15.539833185687689</v>
      </c>
      <c r="G177" s="193">
        <f>IF(F177="","",$B177*'AEO 2018_Table 13'!G$26/'AEO 2018_Table 13'!$C$26)</f>
        <v>15.496483436629742</v>
      </c>
      <c r="H177" s="193">
        <f>IF(G177="","",$B177*'AEO 2018_Table 13'!H$26/'AEO 2018_Table 13'!$C$26)</f>
        <v>15.465516925927584</v>
      </c>
      <c r="I177" s="193">
        <f>IF(H177="","",$B177*'AEO 2018_Table 13'!I$26/'AEO 2018_Table 13'!$C$26)</f>
        <v>15.458929810553222</v>
      </c>
      <c r="J177" s="193">
        <f>IF(I177="","",$B177*'AEO 2018_Table 13'!J$26/'AEO 2018_Table 13'!$C$26)</f>
        <v>15.448916183451166</v>
      </c>
      <c r="K177" s="193">
        <f>IF(J177="","",$B177*'AEO 2018_Table 13'!K$26/'AEO 2018_Table 13'!$C$26)</f>
        <v>15.423298127695281</v>
      </c>
      <c r="L177" s="193">
        <f>IF(K177="","",$B177*'AEO 2018_Table 13'!L$26/'AEO 2018_Table 13'!$C$26)</f>
        <v>15.399669333659503</v>
      </c>
      <c r="M177" s="193">
        <f>IF(L177="","",$B177*'AEO 2018_Table 13'!M$26/'AEO 2018_Table 13'!$C$26)</f>
        <v>15.394095361733111</v>
      </c>
      <c r="N177" s="193">
        <f>IF(M177="","",$B177*'AEO 2018_Table 13'!N$26/'AEO 2018_Table 13'!$C$26)</f>
        <v>15.393886674378381</v>
      </c>
      <c r="O177" s="193">
        <f>IF(N177="","",$B177*'AEO 2018_Table 13'!O$26/'AEO 2018_Table 13'!$C$26)</f>
        <v>15.396030768651999</v>
      </c>
      <c r="P177" s="193">
        <f>IF(O177="","",$B177*'AEO 2018_Table 13'!P$26/'AEO 2018_Table 13'!$C$26)</f>
        <v>15.387659712987185</v>
      </c>
      <c r="Q177" s="193">
        <f>IF(P177="","",$B177*'AEO 2018_Table 13'!Q$26/'AEO 2018_Table 13'!$C$26)</f>
        <v>15.383381622215181</v>
      </c>
      <c r="R177" s="193">
        <f>IF(Q177="","",$B177*'AEO 2018_Table 13'!R$26/'AEO 2018_Table 13'!$C$26)</f>
        <v>15.378830891511996</v>
      </c>
      <c r="S177" s="193">
        <f>IF(R177="","",$B177*'AEO 2018_Table 13'!S$26/'AEO 2018_Table 13'!$C$26)</f>
        <v>15.366252429501779</v>
      </c>
      <c r="T177" s="193">
        <f>IF(S177="","",$B177*'AEO 2018_Table 13'!T$26/'AEO 2018_Table 13'!$C$26)</f>
        <v>15.350227260213412</v>
      </c>
      <c r="U177" s="193">
        <f>IF(T177="","",$B177*'AEO 2018_Table 13'!U$26/'AEO 2018_Table 13'!$C$26)</f>
        <v>15.33168774489303</v>
      </c>
      <c r="V177" s="193">
        <f>IF(U177="","",$B177*'AEO 2018_Table 13'!V$26/'AEO 2018_Table 13'!$C$26)</f>
        <v>15.316642059801875</v>
      </c>
      <c r="W177" s="193">
        <f>IF(V177="","",$B177*'AEO 2018_Table 13'!W$26/'AEO 2018_Table 13'!$C$26)</f>
        <v>15.291114884023049</v>
      </c>
      <c r="X177" s="193">
        <f>IF(W177="","",$B177*'AEO 2018_Table 13'!X$26/'AEO 2018_Table 13'!$C$26)</f>
        <v>15.264446659643355</v>
      </c>
      <c r="Y177" s="193">
        <f>IF(X177="","",$B177*'AEO 2018_Table 13'!Y$26/'AEO 2018_Table 13'!$C$26)</f>
        <v>15.238279958100028</v>
      </c>
      <c r="Z177" s="193">
        <f>IF(Y177="","",$B177*'AEO 2018_Table 13'!Z$26/'AEO 2018_Table 13'!$C$26)</f>
        <v>15.21876095858244</v>
      </c>
      <c r="AA177" s="193">
        <f>IF(Z177="","",$B177*'AEO 2018_Table 13'!AA$26/'AEO 2018_Table 13'!$C$26)</f>
        <v>15.20844103229844</v>
      </c>
      <c r="AB177" s="193">
        <f>IF(AA177="","",$B177*'AEO 2018_Table 13'!AB$26/'AEO 2018_Table 13'!$C$26)</f>
        <v>15.203365217283343</v>
      </c>
      <c r="AC177" s="193">
        <f>IF(AB177="","",$B177*'AEO 2018_Table 13'!AC$26/'AEO 2018_Table 13'!$C$26)</f>
        <v>15.1986663858768</v>
      </c>
      <c r="AD177" s="193">
        <f>IF(AC177="","",$B177*'AEO 2018_Table 13'!AD$26/'AEO 2018_Table 13'!$C$26)</f>
        <v>15.201561081442433</v>
      </c>
      <c r="AE177" s="193">
        <f>IF(AD177="","",$B177*'AEO 2018_Table 13'!AE$26/'AEO 2018_Table 13'!$C$26)</f>
        <v>15.212301748360979</v>
      </c>
      <c r="AF177" s="193">
        <f>IF(AE177="","",$B177*'AEO 2018_Table 13'!AF$26/'AEO 2018_Table 13'!$C$26)</f>
        <v>15.222086492557848</v>
      </c>
      <c r="AG177" s="193">
        <f>IF(AF177="","",$B177*'AEO 2018_Table 13'!AG$26/'AEO 2018_Table 13'!$C$26)</f>
        <v>15.232881014277607</v>
      </c>
      <c r="AH177" s="193">
        <f>IF(AG177="","",$B177*'AEO 2018_Table 13'!AH$26/'AEO 2018_Table 13'!$C$26)</f>
        <v>15.243557728619702</v>
      </c>
      <c r="AI177" s="193">
        <f>IF(AH177="","",$B177*'AEO 2018_Table 13'!AI$26/'AEO 2018_Table 13'!$C$26)</f>
        <v>15.253985364506145</v>
      </c>
      <c r="AJ177" s="193">
        <f>IF(AI177="","",$B177*'AEO 2018_Table 13'!AJ$26/'AEO 2018_Table 13'!$C$26)</f>
        <v>15.261683235155694</v>
      </c>
      <c r="AK177" s="193">
        <f>IF(AJ177="","",$B177*'AEO 2018_Table 13'!AK$26/'AEO 2018_Table 13'!$C$26)</f>
        <v>15.266732122770174</v>
      </c>
    </row>
    <row r="178" spans="1:37" x14ac:dyDescent="0.25">
      <c r="A178" s="212" t="s">
        <v>1296</v>
      </c>
      <c r="B178" s="196">
        <v>5.7104673244022601</v>
      </c>
      <c r="C178" s="193">
        <f>IF(B178="","",$B178*'AEO 2018_Table 13'!C$26/'AEO 2018_Table 13'!$C$26)</f>
        <v>5.7104673244022601</v>
      </c>
      <c r="D178" s="193">
        <f>IF(C178="","",$B178*'AEO 2018_Table 13'!D$26/'AEO 2018_Table 13'!$C$26)</f>
        <v>5.75775024749937</v>
      </c>
      <c r="E178" s="193">
        <f>IF(D178="","",$B178*'AEO 2018_Table 13'!E$26/'AEO 2018_Table 13'!$C$26)</f>
        <v>6.2304059969170105</v>
      </c>
      <c r="F178" s="193">
        <f>IF(E178="","",$B178*'AEO 2018_Table 13'!F$26/'AEO 2018_Table 13'!$C$26)</f>
        <v>6.0676605859589472</v>
      </c>
      <c r="G178" s="193">
        <f>IF(F178="","",$B178*'AEO 2018_Table 13'!G$26/'AEO 2018_Table 13'!$C$26)</f>
        <v>6.0507343062088941</v>
      </c>
      <c r="H178" s="193">
        <f>IF(G178="","",$B178*'AEO 2018_Table 13'!H$26/'AEO 2018_Table 13'!$C$26)</f>
        <v>6.0386431676344321</v>
      </c>
      <c r="I178" s="193">
        <f>IF(H178="","",$B178*'AEO 2018_Table 13'!I$26/'AEO 2018_Table 13'!$C$26)</f>
        <v>6.036071172178973</v>
      </c>
      <c r="J178" s="193">
        <f>IF(I178="","",$B178*'AEO 2018_Table 13'!J$26/'AEO 2018_Table 13'!$C$26)</f>
        <v>6.0321612659551658</v>
      </c>
      <c r="K178" s="193">
        <f>IF(J178="","",$B178*'AEO 2018_Table 13'!K$26/'AEO 2018_Table 13'!$C$26)</f>
        <v>6.0221584772931847</v>
      </c>
      <c r="L178" s="193">
        <f>IF(K178="","",$B178*'AEO 2018_Table 13'!L$26/'AEO 2018_Table 13'!$C$26)</f>
        <v>6.0129324128591941</v>
      </c>
      <c r="M178" s="193">
        <f>IF(L178="","",$B178*'AEO 2018_Table 13'!M$26/'AEO 2018_Table 13'!$C$26)</f>
        <v>6.0107560079157896</v>
      </c>
      <c r="N178" s="193">
        <f>IF(M178="","",$B178*'AEO 2018_Table 13'!N$26/'AEO 2018_Table 13'!$C$26)</f>
        <v>6.0106745241558324</v>
      </c>
      <c r="O178" s="193">
        <f>IF(N178="","",$B178*'AEO 2018_Table 13'!O$26/'AEO 2018_Table 13'!$C$26)</f>
        <v>6.0115117040766943</v>
      </c>
      <c r="P178" s="193">
        <f>IF(O178="","",$B178*'AEO 2018_Table 13'!P$26/'AEO 2018_Table 13'!$C$26)</f>
        <v>6.0082431538990111</v>
      </c>
      <c r="Q178" s="193">
        <f>IF(P178="","",$B178*'AEO 2018_Table 13'!Q$26/'AEO 2018_Table 13'!$C$26)</f>
        <v>6.0065727368198649</v>
      </c>
      <c r="R178" s="193">
        <f>IF(Q178="","",$B178*'AEO 2018_Table 13'!R$26/'AEO 2018_Table 13'!$C$26)</f>
        <v>6.0047958651510962</v>
      </c>
      <c r="S178" s="193">
        <f>IF(R178="","",$B178*'AEO 2018_Table 13'!S$26/'AEO 2018_Table 13'!$C$26)</f>
        <v>5.9998844972323173</v>
      </c>
      <c r="T178" s="193">
        <f>IF(S178="","",$B178*'AEO 2018_Table 13'!T$26/'AEO 2018_Table 13'!$C$26)</f>
        <v>5.9936273330200338</v>
      </c>
      <c r="U178" s="193">
        <f>IF(T178="","",$B178*'AEO 2018_Table 13'!U$26/'AEO 2018_Table 13'!$C$26)</f>
        <v>5.9863884209256719</v>
      </c>
      <c r="V178" s="193">
        <f>IF(U178="","",$B178*'AEO 2018_Table 13'!V$26/'AEO 2018_Table 13'!$C$26)</f>
        <v>5.9805137046835153</v>
      </c>
      <c r="W178" s="193">
        <f>IF(V178="","",$B178*'AEO 2018_Table 13'!W$26/'AEO 2018_Table 13'!$C$26)</f>
        <v>5.9705464008847402</v>
      </c>
      <c r="X178" s="193">
        <f>IF(W178="","",$B178*'AEO 2018_Table 13'!X$26/'AEO 2018_Table 13'!$C$26)</f>
        <v>5.9601335649145817</v>
      </c>
      <c r="Y178" s="193">
        <f>IF(X178="","",$B178*'AEO 2018_Table 13'!Y$26/'AEO 2018_Table 13'!$C$26)</f>
        <v>5.9499165528191611</v>
      </c>
      <c r="Z178" s="193">
        <f>IF(Y178="","",$B178*'AEO 2018_Table 13'!Z$26/'AEO 2018_Table 13'!$C$26)</f>
        <v>5.9422951927546723</v>
      </c>
      <c r="AA178" s="193">
        <f>IF(Z178="","",$B178*'AEO 2018_Table 13'!AA$26/'AEO 2018_Table 13'!$C$26)</f>
        <v>5.938265689399314</v>
      </c>
      <c r="AB178" s="193">
        <f>IF(AA178="","",$B178*'AEO 2018_Table 13'!AB$26/'AEO 2018_Table 13'!$C$26)</f>
        <v>5.9362837940764566</v>
      </c>
      <c r="AC178" s="193">
        <f>IF(AB178="","",$B178*'AEO 2018_Table 13'!AC$26/'AEO 2018_Table 13'!$C$26)</f>
        <v>5.9344490952232007</v>
      </c>
      <c r="AD178" s="193">
        <f>IF(AC178="","",$B178*'AEO 2018_Table 13'!AD$26/'AEO 2018_Table 13'!$C$26)</f>
        <v>5.9355793538290742</v>
      </c>
      <c r="AE178" s="193">
        <f>IF(AD178="","",$B178*'AEO 2018_Table 13'!AE$26/'AEO 2018_Table 13'!$C$26)</f>
        <v>5.9397731389585422</v>
      </c>
      <c r="AF178" s="193">
        <f>IF(AE178="","",$B178*'AEO 2018_Table 13'!AF$26/'AEO 2018_Table 13'!$C$26)</f>
        <v>5.9435936758972341</v>
      </c>
      <c r="AG178" s="193">
        <f>IF(AF178="","",$B178*'AEO 2018_Table 13'!AG$26/'AEO 2018_Table 13'!$C$26)</f>
        <v>5.9478084890937888</v>
      </c>
      <c r="AH178" s="193">
        <f>IF(AG178="","",$B178*'AEO 2018_Table 13'!AH$26/'AEO 2018_Table 13'!$C$26)</f>
        <v>5.9519773033935923</v>
      </c>
      <c r="AI178" s="193">
        <f>IF(AH178="","",$B178*'AEO 2018_Table 13'!AI$26/'AEO 2018_Table 13'!$C$26)</f>
        <v>5.9560488628831223</v>
      </c>
      <c r="AJ178" s="193">
        <f>IF(AI178="","",$B178*'AEO 2018_Table 13'!AJ$26/'AEO 2018_Table 13'!$C$26)</f>
        <v>5.9590545622222306</v>
      </c>
      <c r="AK178" s="193">
        <f>IF(AJ178="","",$B178*'AEO 2018_Table 13'!AK$26/'AEO 2018_Table 13'!$C$26)</f>
        <v>5.9610259435115447</v>
      </c>
    </row>
    <row r="179" spans="1:37" x14ac:dyDescent="0.25">
      <c r="A179" s="212" t="s">
        <v>1297</v>
      </c>
      <c r="B179" s="196">
        <v>3.8245252689151275</v>
      </c>
      <c r="C179" s="193">
        <f>IF(B179="","",$B179*'AEO 2018_Table 13'!C$26/'AEO 2018_Table 13'!$C$26)</f>
        <v>3.824525268915127</v>
      </c>
      <c r="D179" s="193">
        <f>IF(C179="","",$B179*'AEO 2018_Table 13'!D$26/'AEO 2018_Table 13'!$C$26)</f>
        <v>3.8561925080218669</v>
      </c>
      <c r="E179" s="193">
        <f>IF(D179="","",$B179*'AEO 2018_Table 13'!E$26/'AEO 2018_Table 13'!$C$26)</f>
        <v>4.1727487116483353</v>
      </c>
      <c r="F179" s="193">
        <f>IF(E179="","",$B179*'AEO 2018_Table 13'!F$26/'AEO 2018_Table 13'!$C$26)</f>
        <v>4.063751688944202</v>
      </c>
      <c r="G179" s="193">
        <f>IF(F179="","",$B179*'AEO 2018_Table 13'!G$26/'AEO 2018_Table 13'!$C$26)</f>
        <v>4.05241549158323</v>
      </c>
      <c r="H179" s="193">
        <f>IF(G179="","",$B179*'AEO 2018_Table 13'!H$26/'AEO 2018_Table 13'!$C$26)</f>
        <v>4.044317579034046</v>
      </c>
      <c r="I179" s="193">
        <f>IF(H179="","",$B179*'AEO 2018_Table 13'!I$26/'AEO 2018_Table 13'!$C$26)</f>
        <v>4.0425950122015726</v>
      </c>
      <c r="J179" s="193">
        <f>IF(I179="","",$B179*'AEO 2018_Table 13'!J$26/'AEO 2018_Table 13'!$C$26)</f>
        <v>4.0399763937413748</v>
      </c>
      <c r="K179" s="193">
        <f>IF(J179="","",$B179*'AEO 2018_Table 13'!K$26/'AEO 2018_Table 13'!$C$26)</f>
        <v>4.0332771315226958</v>
      </c>
      <c r="L179" s="193">
        <f>IF(K179="","",$B179*'AEO 2018_Table 13'!L$26/'AEO 2018_Table 13'!$C$26)</f>
        <v>4.0270980721645149</v>
      </c>
      <c r="M179" s="193">
        <f>IF(L179="","",$B179*'AEO 2018_Table 13'!M$26/'AEO 2018_Table 13'!$C$26)</f>
        <v>4.0256404479056611</v>
      </c>
      <c r="N179" s="193">
        <f>IF(M179="","",$B179*'AEO 2018_Table 13'!N$26/'AEO 2018_Table 13'!$C$26)</f>
        <v>4.0255858750167421</v>
      </c>
      <c r="O179" s="193">
        <f>IF(N179="","",$B179*'AEO 2018_Table 13'!O$26/'AEO 2018_Table 13'!$C$26)</f>
        <v>4.0261465674399854</v>
      </c>
      <c r="P179" s="193">
        <f>IF(O179="","",$B179*'AEO 2018_Table 13'!P$26/'AEO 2018_Table 13'!$C$26)</f>
        <v>4.0239574904280477</v>
      </c>
      <c r="Q179" s="193">
        <f>IF(P179="","",$B179*'AEO 2018_Table 13'!Q$26/'AEO 2018_Table 13'!$C$26)</f>
        <v>4.0228387462052204</v>
      </c>
      <c r="R179" s="193">
        <f>IF(Q179="","",$B179*'AEO 2018_Table 13'!R$26/'AEO 2018_Table 13'!$C$26)</f>
        <v>4.0216487051436447</v>
      </c>
      <c r="S179" s="193">
        <f>IF(R179="","",$B179*'AEO 2018_Table 13'!S$26/'AEO 2018_Table 13'!$C$26)</f>
        <v>4.0183593682744814</v>
      </c>
      <c r="T179" s="193">
        <f>IF(S179="","",$B179*'AEO 2018_Table 13'!T$26/'AEO 2018_Table 13'!$C$26)</f>
        <v>4.0141686985302778</v>
      </c>
      <c r="U179" s="193">
        <f>IF(T179="","",$B179*'AEO 2018_Table 13'!U$26/'AEO 2018_Table 13'!$C$26)</f>
        <v>4.0093205134953971</v>
      </c>
      <c r="V179" s="193">
        <f>IF(U179="","",$B179*'AEO 2018_Table 13'!V$26/'AEO 2018_Table 13'!$C$26)</f>
        <v>4.0053859842459572</v>
      </c>
      <c r="W179" s="193">
        <f>IF(V179="","",$B179*'AEO 2018_Table 13'!W$26/'AEO 2018_Table 13'!$C$26)</f>
        <v>3.9987104876401949</v>
      </c>
      <c r="X179" s="193">
        <f>IF(W179="","",$B179*'AEO 2018_Table 13'!X$26/'AEO 2018_Table 13'!$C$26)</f>
        <v>3.9917366005611528</v>
      </c>
      <c r="Y179" s="193">
        <f>IF(X179="","",$B179*'AEO 2018_Table 13'!Y$26/'AEO 2018_Table 13'!$C$26)</f>
        <v>3.9848938644570913</v>
      </c>
      <c r="Z179" s="193">
        <f>IF(Y179="","",$B179*'AEO 2018_Table 13'!Z$26/'AEO 2018_Table 13'!$C$26)</f>
        <v>3.9797895389274487</v>
      </c>
      <c r="AA179" s="193">
        <f>IF(Z179="","",$B179*'AEO 2018_Table 13'!AA$26/'AEO 2018_Table 13'!$C$26)</f>
        <v>3.9770908215496448</v>
      </c>
      <c r="AB179" s="193">
        <f>IF(AA179="","",$B179*'AEO 2018_Table 13'!AB$26/'AEO 2018_Table 13'!$C$26)</f>
        <v>3.9757634680578868</v>
      </c>
      <c r="AC179" s="193">
        <f>IF(AB179="","",$B179*'AEO 2018_Table 13'!AC$26/'AEO 2018_Table 13'!$C$26)</f>
        <v>3.9745346978493368</v>
      </c>
      <c r="AD179" s="193">
        <f>IF(AC179="","",$B179*'AEO 2018_Table 13'!AD$26/'AEO 2018_Table 13'!$C$26)</f>
        <v>3.9752916766311079</v>
      </c>
      <c r="AE179" s="193">
        <f>IF(AD179="","",$B179*'AEO 2018_Table 13'!AE$26/'AEO 2018_Table 13'!$C$26)</f>
        <v>3.9781004199946346</v>
      </c>
      <c r="AF179" s="193">
        <f>IF(AE179="","",$B179*'AEO 2018_Table 13'!AF$26/'AEO 2018_Table 13'!$C$26)</f>
        <v>3.9806591843186006</v>
      </c>
      <c r="AG179" s="193">
        <f>IF(AF179="","",$B179*'AEO 2018_Table 13'!AG$26/'AEO 2018_Table 13'!$C$26)</f>
        <v>3.9834820110082991</v>
      </c>
      <c r="AH179" s="193">
        <f>IF(AG179="","",$B179*'AEO 2018_Table 13'!AH$26/'AEO 2018_Table 13'!$C$26)</f>
        <v>3.9862740304219968</v>
      </c>
      <c r="AI179" s="193">
        <f>IF(AH179="","",$B179*'AEO 2018_Table 13'!AI$26/'AEO 2018_Table 13'!$C$26)</f>
        <v>3.9890009144521459</v>
      </c>
      <c r="AJ179" s="193">
        <f>IF(AI179="","",$B179*'AEO 2018_Table 13'!AJ$26/'AEO 2018_Table 13'!$C$26)</f>
        <v>3.9910139498869261</v>
      </c>
      <c r="AK179" s="193">
        <f>IF(AJ179="","",$B179*'AEO 2018_Table 13'!AK$26/'AEO 2018_Table 13'!$C$26)</f>
        <v>3.9923342617155977</v>
      </c>
    </row>
    <row r="180" spans="1:37" x14ac:dyDescent="0.25">
      <c r="A180" s="212" t="s">
        <v>1298</v>
      </c>
      <c r="B180" s="196">
        <v>0.21906293183999997</v>
      </c>
      <c r="C180" s="193">
        <f>IF(B180="","",$B180*'AEO 2018_Table 13'!C$26/'AEO 2018_Table 13'!$C$26)</f>
        <v>0.21906293183999997</v>
      </c>
      <c r="D180" s="193">
        <f>IF(C180="","",$B180*'AEO 2018_Table 13'!D$26/'AEO 2018_Table 13'!$C$26)</f>
        <v>0.22087678264610758</v>
      </c>
      <c r="E180" s="193">
        <f>IF(D180="","",$B180*'AEO 2018_Table 13'!E$26/'AEO 2018_Table 13'!$C$26)</f>
        <v>0.23900863566906461</v>
      </c>
      <c r="F180" s="193">
        <f>IF(E180="","",$B180*'AEO 2018_Table 13'!F$26/'AEO 2018_Table 13'!$C$26)</f>
        <v>0.23276545365913853</v>
      </c>
      <c r="G180" s="193">
        <f>IF(F180="","",$B180*'AEO 2018_Table 13'!G$26/'AEO 2018_Table 13'!$C$26)</f>
        <v>0.23211613368993989</v>
      </c>
      <c r="H180" s="193">
        <f>IF(G180="","",$B180*'AEO 2018_Table 13'!H$26/'AEO 2018_Table 13'!$C$26)</f>
        <v>0.23165229769982987</v>
      </c>
      <c r="I180" s="193">
        <f>IF(H180="","",$B180*'AEO 2018_Table 13'!I$26/'AEO 2018_Table 13'!$C$26)</f>
        <v>0.23155363171802057</v>
      </c>
      <c r="J180" s="193">
        <f>IF(I180="","",$B180*'AEO 2018_Table 13'!J$26/'AEO 2018_Table 13'!$C$26)</f>
        <v>0.23140364127556651</v>
      </c>
      <c r="K180" s="193">
        <f>IF(J180="","",$B180*'AEO 2018_Table 13'!K$26/'AEO 2018_Table 13'!$C$26)</f>
        <v>0.23101991782766129</v>
      </c>
      <c r="L180" s="193">
        <f>IF(K180="","",$B180*'AEO 2018_Table 13'!L$26/'AEO 2018_Table 13'!$C$26)</f>
        <v>0.23066599080042516</v>
      </c>
      <c r="M180" s="193">
        <f>IF(L180="","",$B180*'AEO 2018_Table 13'!M$26/'AEO 2018_Table 13'!$C$26)</f>
        <v>0.23058250032220534</v>
      </c>
      <c r="N180" s="193">
        <f>IF(M180="","",$B180*'AEO 2018_Table 13'!N$26/'AEO 2018_Table 13'!$C$26)</f>
        <v>0.23057937447096763</v>
      </c>
      <c r="O180" s="193">
        <f>IF(N180="","",$B180*'AEO 2018_Table 13'!O$26/'AEO 2018_Table 13'!$C$26)</f>
        <v>0.23061149007158721</v>
      </c>
      <c r="P180" s="193">
        <f>IF(O180="","",$B180*'AEO 2018_Table 13'!P$26/'AEO 2018_Table 13'!$C$26)</f>
        <v>0.23048610310339113</v>
      </c>
      <c r="Q180" s="193">
        <f>IF(P180="","",$B180*'AEO 2018_Table 13'!Q$26/'AEO 2018_Table 13'!$C$26)</f>
        <v>0.23042202315301832</v>
      </c>
      <c r="R180" s="193">
        <f>IF(Q180="","",$B180*'AEO 2018_Table 13'!R$26/'AEO 2018_Table 13'!$C$26)</f>
        <v>0.23035385942925435</v>
      </c>
      <c r="S180" s="193">
        <f>IF(R180="","",$B180*'AEO 2018_Table 13'!S$26/'AEO 2018_Table 13'!$C$26)</f>
        <v>0.23016545126674987</v>
      </c>
      <c r="T180" s="193">
        <f>IF(S180="","",$B180*'AEO 2018_Table 13'!T$26/'AEO 2018_Table 13'!$C$26)</f>
        <v>0.22992541614186787</v>
      </c>
      <c r="U180" s="193">
        <f>IF(T180="","",$B180*'AEO 2018_Table 13'!U$26/'AEO 2018_Table 13'!$C$26)</f>
        <v>0.2296477195512672</v>
      </c>
      <c r="V180" s="193">
        <f>IF(U180="","",$B180*'AEO 2018_Table 13'!V$26/'AEO 2018_Table 13'!$C$26)</f>
        <v>0.22942235576042028</v>
      </c>
      <c r="W180" s="193">
        <f>IF(V180="","",$B180*'AEO 2018_Table 13'!W$26/'AEO 2018_Table 13'!$C$26)</f>
        <v>0.22903999357031213</v>
      </c>
      <c r="X180" s="193">
        <f>IF(W180="","",$B180*'AEO 2018_Table 13'!X$26/'AEO 2018_Table 13'!$C$26)</f>
        <v>0.22864054003230755</v>
      </c>
      <c r="Y180" s="193">
        <f>IF(X180="","",$B180*'AEO 2018_Table 13'!Y$26/'AEO 2018_Table 13'!$C$26)</f>
        <v>0.22824859862066452</v>
      </c>
      <c r="Z180" s="193">
        <f>IF(Y180="","",$B180*'AEO 2018_Table 13'!Z$26/'AEO 2018_Table 13'!$C$26)</f>
        <v>0.22795623069602886</v>
      </c>
      <c r="AA180" s="193">
        <f>IF(Z180="","",$B180*'AEO 2018_Table 13'!AA$26/'AEO 2018_Table 13'!$C$26)</f>
        <v>0.22780165231062915</v>
      </c>
      <c r="AB180" s="193">
        <f>IF(AA180="","",$B180*'AEO 2018_Table 13'!AB$26/'AEO 2018_Table 13'!$C$26)</f>
        <v>0.22772562354181544</v>
      </c>
      <c r="AC180" s="193">
        <f>IF(AB180="","",$B180*'AEO 2018_Table 13'!AC$26/'AEO 2018_Table 13'!$C$26)</f>
        <v>0.2276552414720118</v>
      </c>
      <c r="AD180" s="193">
        <f>IF(AC180="","",$B180*'AEO 2018_Table 13'!AD$26/'AEO 2018_Table 13'!$C$26)</f>
        <v>0.22769860005369597</v>
      </c>
      <c r="AE180" s="193">
        <f>IF(AD180="","",$B180*'AEO 2018_Table 13'!AE$26/'AEO 2018_Table 13'!$C$26)</f>
        <v>0.22785948055852656</v>
      </c>
      <c r="AF180" s="193">
        <f>IF(AE180="","",$B180*'AEO 2018_Table 13'!AF$26/'AEO 2018_Table 13'!$C$26)</f>
        <v>0.22800604264801025</v>
      </c>
      <c r="AG180" s="193">
        <f>IF(AF180="","",$B180*'AEO 2018_Table 13'!AG$26/'AEO 2018_Table 13'!$C$26)</f>
        <v>0.22816772982412797</v>
      </c>
      <c r="AH180" s="193">
        <f>IF(AG180="","",$B180*'AEO 2018_Table 13'!AH$26/'AEO 2018_Table 13'!$C$26)</f>
        <v>0.22832765240680505</v>
      </c>
      <c r="AI180" s="193">
        <f>IF(AH180="","",$B180*'AEO 2018_Table 13'!AI$26/'AEO 2018_Table 13'!$C$26)</f>
        <v>0.22848384413477904</v>
      </c>
      <c r="AJ180" s="193">
        <f>IF(AI180="","",$B180*'AEO 2018_Table 13'!AJ$26/'AEO 2018_Table 13'!$C$26)</f>
        <v>0.22859914771188575</v>
      </c>
      <c r="AK180" s="193">
        <f>IF(AJ180="","",$B180*'AEO 2018_Table 13'!AK$26/'AEO 2018_Table 13'!$C$26)</f>
        <v>0.22867477314505588</v>
      </c>
    </row>
    <row r="181" spans="1:37" x14ac:dyDescent="0.25">
      <c r="A181" s="212" t="s">
        <v>1299</v>
      </c>
      <c r="B181" s="196">
        <v>1.9095912262674126</v>
      </c>
      <c r="C181" s="193">
        <f>IF(B181="","",$B181*'AEO 2018_Table 13'!C$26/'AEO 2018_Table 13'!$C$26)</f>
        <v>1.9095912262674126</v>
      </c>
      <c r="D181" s="193">
        <f>IF(C181="","",$B181*'AEO 2018_Table 13'!D$26/'AEO 2018_Table 13'!$C$26)</f>
        <v>1.9254027264423075</v>
      </c>
      <c r="E181" s="193">
        <f>IF(D181="","",$B181*'AEO 2018_Table 13'!E$26/'AEO 2018_Table 13'!$C$26)</f>
        <v>2.0834597156270327</v>
      </c>
      <c r="F181" s="193">
        <f>IF(E181="","",$B181*'AEO 2018_Table 13'!F$26/'AEO 2018_Table 13'!$C$26)</f>
        <v>2.0290373380480959</v>
      </c>
      <c r="G181" s="193">
        <f>IF(F181="","",$B181*'AEO 2018_Table 13'!G$26/'AEO 2018_Table 13'!$C$26)</f>
        <v>2.0233771576341515</v>
      </c>
      <c r="H181" s="193">
        <f>IF(G181="","",$B181*'AEO 2018_Table 13'!H$26/'AEO 2018_Table 13'!$C$26)</f>
        <v>2.0193338577033892</v>
      </c>
      <c r="I181" s="193">
        <f>IF(H181="","",$B181*'AEO 2018_Table 13'!I$26/'AEO 2018_Table 13'!$C$26)</f>
        <v>2.0184737774898567</v>
      </c>
      <c r="J181" s="193">
        <f>IF(I181="","",$B181*'AEO 2018_Table 13'!J$26/'AEO 2018_Table 13'!$C$26)</f>
        <v>2.0171662973492026</v>
      </c>
      <c r="K181" s="193">
        <f>IF(J181="","",$B181*'AEO 2018_Table 13'!K$26/'AEO 2018_Table 13'!$C$26)</f>
        <v>2.0138213456347427</v>
      </c>
      <c r="L181" s="193">
        <f>IF(K181="","",$B181*'AEO 2018_Table 13'!L$26/'AEO 2018_Table 13'!$C$26)</f>
        <v>2.0107361319919224</v>
      </c>
      <c r="M181" s="193">
        <f>IF(L181="","",$B181*'AEO 2018_Table 13'!M$26/'AEO 2018_Table 13'!$C$26)</f>
        <v>2.0100083380043845</v>
      </c>
      <c r="N181" s="193">
        <f>IF(M181="","",$B181*'AEO 2018_Table 13'!N$26/'AEO 2018_Table 13'!$C$26)</f>
        <v>2.0099810896787642</v>
      </c>
      <c r="O181" s="193">
        <f>IF(N181="","",$B181*'AEO 2018_Table 13'!O$26/'AEO 2018_Table 13'!$C$26)</f>
        <v>2.0102610442500572</v>
      </c>
      <c r="P181" s="193">
        <f>IF(O181="","",$B181*'AEO 2018_Table 13'!P$26/'AEO 2018_Table 13'!$C$26)</f>
        <v>2.009168034801383</v>
      </c>
      <c r="Q181" s="193">
        <f>IF(P181="","",$B181*'AEO 2018_Table 13'!Q$26/'AEO 2018_Table 13'!$C$26)</f>
        <v>2.0086094441261655</v>
      </c>
      <c r="R181" s="193">
        <f>IF(Q181="","",$B181*'AEO 2018_Table 13'!R$26/'AEO 2018_Table 13'!$C$26)</f>
        <v>2.0080152548319927</v>
      </c>
      <c r="S181" s="193">
        <f>IF(R181="","",$B181*'AEO 2018_Table 13'!S$26/'AEO 2018_Table 13'!$C$26)</f>
        <v>2.0063728839796822</v>
      </c>
      <c r="T181" s="193">
        <f>IF(S181="","",$B181*'AEO 2018_Table 13'!T$26/'AEO 2018_Table 13'!$C$26)</f>
        <v>2.0042804762655124</v>
      </c>
      <c r="U181" s="193">
        <f>IF(T181="","",$B181*'AEO 2018_Table 13'!U$26/'AEO 2018_Table 13'!$C$26)</f>
        <v>2.0018597701765302</v>
      </c>
      <c r="V181" s="193">
        <f>IF(U181="","",$B181*'AEO 2018_Table 13'!V$26/'AEO 2018_Table 13'!$C$26)</f>
        <v>1.9998952537971271</v>
      </c>
      <c r="W181" s="193">
        <f>IF(V181="","",$B181*'AEO 2018_Table 13'!W$26/'AEO 2018_Table 13'!$C$26)</f>
        <v>1.9965621682889854</v>
      </c>
      <c r="X181" s="193">
        <f>IF(W181="","",$B181*'AEO 2018_Table 13'!X$26/'AEO 2018_Table 13'!$C$26)</f>
        <v>1.993080095968178</v>
      </c>
      <c r="Y181" s="193">
        <f>IF(X181="","",$B181*'AEO 2018_Table 13'!Y$26/'AEO 2018_Table 13'!$C$26)</f>
        <v>1.9896635075266838</v>
      </c>
      <c r="Z181" s="193">
        <f>IF(Y181="","",$B181*'AEO 2018_Table 13'!Z$26/'AEO 2018_Table 13'!$C$26)</f>
        <v>1.9871149101029351</v>
      </c>
      <c r="AA181" s="193">
        <f>IF(Z181="","",$B181*'AEO 2018_Table 13'!AA$26/'AEO 2018_Table 13'!$C$26)</f>
        <v>1.9857674364520963</v>
      </c>
      <c r="AB181" s="193">
        <f>IF(AA181="","",$B181*'AEO 2018_Table 13'!AB$26/'AEO 2018_Table 13'!$C$26)</f>
        <v>1.9851046868547495</v>
      </c>
      <c r="AC181" s="193">
        <f>IF(AB181="","",$B181*'AEO 2018_Table 13'!AC$26/'AEO 2018_Table 13'!$C$26)</f>
        <v>1.984491160039169</v>
      </c>
      <c r="AD181" s="193">
        <f>IF(AC181="","",$B181*'AEO 2018_Table 13'!AD$26/'AEO 2018_Table 13'!$C$26)</f>
        <v>1.9848691206848705</v>
      </c>
      <c r="AE181" s="193">
        <f>IF(AD181="","",$B181*'AEO 2018_Table 13'!AE$26/'AEO 2018_Table 13'!$C$26)</f>
        <v>1.9862715304760727</v>
      </c>
      <c r="AF181" s="193">
        <f>IF(AE181="","",$B181*'AEO 2018_Table 13'!AF$26/'AEO 2018_Table 13'!$C$26)</f>
        <v>1.9875491253563695</v>
      </c>
      <c r="AG181" s="193">
        <f>IF(AF181="","",$B181*'AEO 2018_Table 13'!AG$26/'AEO 2018_Table 13'!$C$26)</f>
        <v>1.9889585669735383</v>
      </c>
      <c r="AH181" s="193">
        <f>IF(AG181="","",$B181*'AEO 2018_Table 13'!AH$26/'AEO 2018_Table 13'!$C$26)</f>
        <v>1.9903526264714053</v>
      </c>
      <c r="AI181" s="193">
        <f>IF(AH181="","",$B181*'AEO 2018_Table 13'!AI$26/'AEO 2018_Table 13'!$C$26)</f>
        <v>1.9917141637741771</v>
      </c>
      <c r="AJ181" s="193">
        <f>IF(AI181="","",$B181*'AEO 2018_Table 13'!AJ$26/'AEO 2018_Table 13'!$C$26)</f>
        <v>1.9927192753982699</v>
      </c>
      <c r="AK181" s="193">
        <f>IF(AJ181="","",$B181*'AEO 2018_Table 13'!AK$26/'AEO 2018_Table 13'!$C$26)</f>
        <v>1.993378509082633</v>
      </c>
    </row>
    <row r="182" spans="1:37" x14ac:dyDescent="0.25">
      <c r="A182" s="212" t="s">
        <v>1300</v>
      </c>
      <c r="B182" s="196">
        <v>0.61042027679999999</v>
      </c>
      <c r="C182" s="193">
        <f>IF(B182="","",$B182*'AEO 2018_Table 13'!C$26/'AEO 2018_Table 13'!$C$26)</f>
        <v>0.61042027679999999</v>
      </c>
      <c r="D182" s="193">
        <f>IF(C182="","",$B182*'AEO 2018_Table 13'!D$26/'AEO 2018_Table 13'!$C$26)</f>
        <v>0.61547458380592834</v>
      </c>
      <c r="E182" s="193">
        <f>IF(D182="","",$B182*'AEO 2018_Table 13'!E$26/'AEO 2018_Table 13'!$C$26)</f>
        <v>0.665999109558438</v>
      </c>
      <c r="F182" s="193">
        <f>IF(E182="","",$B182*'AEO 2018_Table 13'!F$26/'AEO 2018_Table 13'!$C$26)</f>
        <v>0.6486024424975072</v>
      </c>
      <c r="G182" s="193">
        <f>IF(F182="","",$B182*'AEO 2018_Table 13'!G$26/'AEO 2018_Table 13'!$C$26)</f>
        <v>0.64679310820255909</v>
      </c>
      <c r="H182" s="193">
        <f>IF(G182="","",$B182*'AEO 2018_Table 13'!H$26/'AEO 2018_Table 13'!$C$26)</f>
        <v>0.64550062621533</v>
      </c>
      <c r="I182" s="193">
        <f>IF(H182="","",$B182*'AEO 2018_Table 13'!I$26/'AEO 2018_Table 13'!$C$26)</f>
        <v>0.64522569281869879</v>
      </c>
      <c r="J182" s="193">
        <f>IF(I182="","",$B182*'AEO 2018_Table 13'!J$26/'AEO 2018_Table 13'!$C$26)</f>
        <v>0.64480774348043712</v>
      </c>
      <c r="K182" s="193">
        <f>IF(J182="","",$B182*'AEO 2018_Table 13'!K$26/'AEO 2018_Table 13'!$C$26)</f>
        <v>0.64373849561035024</v>
      </c>
      <c r="L182" s="193">
        <f>IF(K182="","",$B182*'AEO 2018_Table 13'!L$26/'AEO 2018_Table 13'!$C$26)</f>
        <v>0.64275227565922544</v>
      </c>
      <c r="M182" s="193">
        <f>IF(L182="","",$B182*'AEO 2018_Table 13'!M$26/'AEO 2018_Table 13'!$C$26)</f>
        <v>0.64251962890152414</v>
      </c>
      <c r="N182" s="193">
        <f>IF(M182="","",$B182*'AEO 2018_Table 13'!N$26/'AEO 2018_Table 13'!$C$26)</f>
        <v>0.64251091869682764</v>
      </c>
      <c r="O182" s="193">
        <f>IF(N182="","",$B182*'AEO 2018_Table 13'!O$26/'AEO 2018_Table 13'!$C$26)</f>
        <v>0.64260040902572602</v>
      </c>
      <c r="P182" s="193">
        <f>IF(O182="","",$B182*'AEO 2018_Table 13'!P$26/'AEO 2018_Table 13'!$C$26)</f>
        <v>0.64225101742765645</v>
      </c>
      <c r="Q182" s="193">
        <f>IF(P182="","",$B182*'AEO 2018_Table 13'!Q$26/'AEO 2018_Table 13'!$C$26)</f>
        <v>0.64207245823137749</v>
      </c>
      <c r="R182" s="193">
        <f>IF(Q182="","",$B182*'AEO 2018_Table 13'!R$26/'AEO 2018_Table 13'!$C$26)</f>
        <v>0.64188251957412379</v>
      </c>
      <c r="S182" s="193">
        <f>IF(R182="","",$B182*'AEO 2018_Table 13'!S$26/'AEO 2018_Table 13'!$C$26)</f>
        <v>0.64135751901039817</v>
      </c>
      <c r="T182" s="193">
        <f>IF(S182="","",$B182*'AEO 2018_Table 13'!T$26/'AEO 2018_Table 13'!$C$26)</f>
        <v>0.64068865958200705</v>
      </c>
      <c r="U182" s="193">
        <f>IF(T182="","",$B182*'AEO 2018_Table 13'!U$26/'AEO 2018_Table 13'!$C$26)</f>
        <v>0.63991485623573996</v>
      </c>
      <c r="V182" s="193">
        <f>IF(U182="","",$B182*'AEO 2018_Table 13'!V$26/'AEO 2018_Table 13'!$C$26)</f>
        <v>0.63928687857455369</v>
      </c>
      <c r="W182" s="193">
        <f>IF(V182="","",$B182*'AEO 2018_Table 13'!W$26/'AEO 2018_Table 13'!$C$26)</f>
        <v>0.63822142385812486</v>
      </c>
      <c r="X182" s="193">
        <f>IF(W182="","",$B182*'AEO 2018_Table 13'!X$26/'AEO 2018_Table 13'!$C$26)</f>
        <v>0.6371083439902101</v>
      </c>
      <c r="Y182" s="193">
        <f>IF(X182="","",$B182*'AEO 2018_Table 13'!Y$26/'AEO 2018_Table 13'!$C$26)</f>
        <v>0.63601619671100151</v>
      </c>
      <c r="Z182" s="193">
        <f>IF(Y182="","",$B182*'AEO 2018_Table 13'!Z$26/'AEO 2018_Table 13'!$C$26)</f>
        <v>0.63520151159752958</v>
      </c>
      <c r="AA182" s="193">
        <f>IF(Z182="","",$B182*'AEO 2018_Table 13'!AA$26/'AEO 2018_Table 13'!$C$26)</f>
        <v>0.63477077792656833</v>
      </c>
      <c r="AB182" s="193">
        <f>IF(AA182="","",$B182*'AEO 2018_Table 13'!AB$26/'AEO 2018_Table 13'!$C$26)</f>
        <v>0.63455892327040075</v>
      </c>
      <c r="AC182" s="193">
        <f>IF(AB182="","",$B182*'AEO 2018_Table 13'!AC$26/'AEO 2018_Table 13'!$C$26)</f>
        <v>0.634362803177556</v>
      </c>
      <c r="AD182" s="193">
        <f>IF(AC182="","",$B182*'AEO 2018_Table 13'!AD$26/'AEO 2018_Table 13'!$C$26)</f>
        <v>0.63448362214592746</v>
      </c>
      <c r="AE182" s="193">
        <f>IF(AD182="","",$B182*'AEO 2018_Table 13'!AE$26/'AEO 2018_Table 13'!$C$26)</f>
        <v>0.63493191671345428</v>
      </c>
      <c r="AF182" s="193">
        <f>IF(AE182="","",$B182*'AEO 2018_Table 13'!AF$26/'AEO 2018_Table 13'!$C$26)</f>
        <v>0.6353403129239843</v>
      </c>
      <c r="AG182" s="193">
        <f>IF(AF182="","",$B182*'AEO 2018_Table 13'!AG$26/'AEO 2018_Table 13'!$C$26)</f>
        <v>0.63579085528627166</v>
      </c>
      <c r="AH182" s="193">
        <f>IF(AG182="","",$B182*'AEO 2018_Table 13'!AH$26/'AEO 2018_Table 13'!$C$26)</f>
        <v>0.63623648059752058</v>
      </c>
      <c r="AI182" s="193">
        <f>IF(AH182="","",$B182*'AEO 2018_Table 13'!AI$26/'AEO 2018_Table 13'!$C$26)</f>
        <v>0.6366717098580027</v>
      </c>
      <c r="AJ182" s="193">
        <f>IF(AI182="","",$B182*'AEO 2018_Table 13'!AJ$26/'AEO 2018_Table 13'!$C$26)</f>
        <v>0.63699300402156711</v>
      </c>
      <c r="AK182" s="193">
        <f>IF(AJ182="","",$B182*'AEO 2018_Table 13'!AK$26/'AEO 2018_Table 13'!$C$26)</f>
        <v>0.63720373478035441</v>
      </c>
    </row>
    <row r="183" spans="1:37" x14ac:dyDescent="0.25">
      <c r="A183" s="212" t="s">
        <v>1301</v>
      </c>
      <c r="B183" s="196">
        <v>6.5394392213348835</v>
      </c>
      <c r="C183" s="193">
        <f>IF(B183="","",$B183*'AEO 2018_Table 13'!C$26/'AEO 2018_Table 13'!$C$26)</f>
        <v>6.5394392213348835</v>
      </c>
      <c r="D183" s="193">
        <f>IF(C183="","",$B183*'AEO 2018_Table 13'!D$26/'AEO 2018_Table 13'!$C$26)</f>
        <v>6.5935860685603798</v>
      </c>
      <c r="E183" s="193">
        <f>IF(D183="","",$B183*'AEO 2018_Table 13'!E$26/'AEO 2018_Table 13'!$C$26)</f>
        <v>7.1348558754504303</v>
      </c>
      <c r="F183" s="193">
        <f>IF(E183="","",$B183*'AEO 2018_Table 13'!F$26/'AEO 2018_Table 13'!$C$26)</f>
        <v>6.9484851875448088</v>
      </c>
      <c r="G183" s="193">
        <f>IF(F183="","",$B183*'AEO 2018_Table 13'!G$26/'AEO 2018_Table 13'!$C$26)</f>
        <v>6.9291017690992138</v>
      </c>
      <c r="H183" s="193">
        <f>IF(G183="","",$B183*'AEO 2018_Table 13'!H$26/'AEO 2018_Table 13'!$C$26)</f>
        <v>6.9152553951804725</v>
      </c>
      <c r="I183" s="193">
        <f>IF(H183="","",$B183*'AEO 2018_Table 13'!I$26/'AEO 2018_Table 13'!$C$26)</f>
        <v>6.9123100306414536</v>
      </c>
      <c r="J183" s="193">
        <f>IF(I183="","",$B183*'AEO 2018_Table 13'!J$26/'AEO 2018_Table 13'!$C$26)</f>
        <v>6.907832534727512</v>
      </c>
      <c r="K183" s="193">
        <f>IF(J183="","",$B183*'AEO 2018_Table 13'!K$26/'AEO 2018_Table 13'!$C$26)</f>
        <v>6.8963776703910398</v>
      </c>
      <c r="L183" s="193">
        <f>IF(K183="","",$B183*'AEO 2018_Table 13'!L$26/'AEO 2018_Table 13'!$C$26)</f>
        <v>6.8858122850747829</v>
      </c>
      <c r="M183" s="193">
        <f>IF(L183="","",$B183*'AEO 2018_Table 13'!M$26/'AEO 2018_Table 13'!$C$26)</f>
        <v>6.883319937769409</v>
      </c>
      <c r="N183" s="193">
        <f>IF(M183="","",$B183*'AEO 2018_Table 13'!N$26/'AEO 2018_Table 13'!$C$26)</f>
        <v>6.883226625249522</v>
      </c>
      <c r="O183" s="193">
        <f>IF(N183="","",$B183*'AEO 2018_Table 13'!O$26/'AEO 2018_Table 13'!$C$26)</f>
        <v>6.884185336139331</v>
      </c>
      <c r="P183" s="193">
        <f>IF(O183="","",$B183*'AEO 2018_Table 13'!P$26/'AEO 2018_Table 13'!$C$26)</f>
        <v>6.8804423000593395</v>
      </c>
      <c r="Q183" s="193">
        <f>IF(P183="","",$B183*'AEO 2018_Table 13'!Q$26/'AEO 2018_Table 13'!$C$26)</f>
        <v>6.8785293934016529</v>
      </c>
      <c r="R183" s="193">
        <f>IF(Q183="","",$B183*'AEO 2018_Table 13'!R$26/'AEO 2018_Table 13'!$C$26)</f>
        <v>6.8764945784518554</v>
      </c>
      <c r="S183" s="193">
        <f>IF(R183="","",$B183*'AEO 2018_Table 13'!S$26/'AEO 2018_Table 13'!$C$26)</f>
        <v>6.8708702415676877</v>
      </c>
      <c r="T183" s="193">
        <f>IF(S183="","",$B183*'AEO 2018_Table 13'!T$26/'AEO 2018_Table 13'!$C$26)</f>
        <v>6.8637047430647398</v>
      </c>
      <c r="U183" s="193">
        <f>IF(T183="","",$B183*'AEO 2018_Table 13'!U$26/'AEO 2018_Table 13'!$C$26)</f>
        <v>6.8554149792012149</v>
      </c>
      <c r="V183" s="193">
        <f>IF(U183="","",$B183*'AEO 2018_Table 13'!V$26/'AEO 2018_Table 13'!$C$26)</f>
        <v>6.8486874475254789</v>
      </c>
      <c r="W183" s="193">
        <f>IF(V183="","",$B183*'AEO 2018_Table 13'!W$26/'AEO 2018_Table 13'!$C$26)</f>
        <v>6.8372732192863763</v>
      </c>
      <c r="X183" s="193">
        <f>IF(W183="","",$B183*'AEO 2018_Table 13'!X$26/'AEO 2018_Table 13'!$C$26)</f>
        <v>6.825348782269181</v>
      </c>
      <c r="Y183" s="193">
        <f>IF(X183="","",$B183*'AEO 2018_Table 13'!Y$26/'AEO 2018_Table 13'!$C$26)</f>
        <v>6.8136485963078446</v>
      </c>
      <c r="Z183" s="193">
        <f>IF(Y183="","",$B183*'AEO 2018_Table 13'!Z$26/'AEO 2018_Table 13'!$C$26)</f>
        <v>6.804920865617107</v>
      </c>
      <c r="AA183" s="193">
        <f>IF(Z183="","",$B183*'AEO 2018_Table 13'!AA$26/'AEO 2018_Table 13'!$C$26)</f>
        <v>6.8003064110046223</v>
      </c>
      <c r="AB183" s="193">
        <f>IF(AA183="","",$B183*'AEO 2018_Table 13'!AB$26/'AEO 2018_Table 13'!$C$26)</f>
        <v>6.7980368097144632</v>
      </c>
      <c r="AC183" s="193">
        <f>IF(AB183="","",$B183*'AEO 2018_Table 13'!AC$26/'AEO 2018_Table 13'!$C$26)</f>
        <v>6.7959357729763594</v>
      </c>
      <c r="AD183" s="193">
        <f>IF(AC183="","",$B183*'AEO 2018_Table 13'!AD$26/'AEO 2018_Table 13'!$C$26)</f>
        <v>6.7972301079296322</v>
      </c>
      <c r="AE183" s="193">
        <f>IF(AD183="","",$B183*'AEO 2018_Table 13'!AE$26/'AEO 2018_Table 13'!$C$26)</f>
        <v>6.802032692622535</v>
      </c>
      <c r="AF183" s="193">
        <f>IF(AE183="","",$B183*'AEO 2018_Table 13'!AF$26/'AEO 2018_Table 13'!$C$26)</f>
        <v>6.8064078457727293</v>
      </c>
      <c r="AG183" s="193">
        <f>IF(AF183="","",$B183*'AEO 2018_Table 13'!AG$26/'AEO 2018_Table 13'!$C$26)</f>
        <v>6.8112345111159254</v>
      </c>
      <c r="AH183" s="193">
        <f>IF(AG183="","",$B183*'AEO 2018_Table 13'!AH$26/'AEO 2018_Table 13'!$C$26)</f>
        <v>6.8160085000366051</v>
      </c>
      <c r="AI183" s="193">
        <f>IF(AH183="","",$B183*'AEO 2018_Table 13'!AI$26/'AEO 2018_Table 13'!$C$26)</f>
        <v>6.8206711159496756</v>
      </c>
      <c r="AJ183" s="193">
        <f>IF(AI183="","",$B183*'AEO 2018_Table 13'!AJ$26/'AEO 2018_Table 13'!$C$26)</f>
        <v>6.8241131439009974</v>
      </c>
      <c r="AK183" s="193">
        <f>IF(AJ183="","",$B183*'AEO 2018_Table 13'!AK$26/'AEO 2018_Table 13'!$C$26)</f>
        <v>6.8263707048660098</v>
      </c>
    </row>
    <row r="184" spans="1:37" x14ac:dyDescent="0.25">
      <c r="A184" s="212" t="s">
        <v>1302</v>
      </c>
      <c r="B184" s="196">
        <v>0.41221084031999994</v>
      </c>
      <c r="C184" s="193">
        <f>IF(B184="","",$B184*'AEO 2018_Table 13'!C$26/'AEO 2018_Table 13'!$C$26)</f>
        <v>0.41221084031999994</v>
      </c>
      <c r="D184" s="193">
        <f>IF(C184="","",$B184*'AEO 2018_Table 13'!D$26/'AEO 2018_Table 13'!$C$26)</f>
        <v>0.41562396438768484</v>
      </c>
      <c r="E184" s="193">
        <f>IF(D184="","",$B184*'AEO 2018_Table 13'!E$26/'AEO 2018_Table 13'!$C$26)</f>
        <v>0.44974268227561515</v>
      </c>
      <c r="F184" s="193">
        <f>IF(E184="","",$B184*'AEO 2018_Table 13'!F$26/'AEO 2018_Table 13'!$C$26)</f>
        <v>0.43799488322551394</v>
      </c>
      <c r="G184" s="193">
        <f>IF(F184="","",$B184*'AEO 2018_Table 13'!G$26/'AEO 2018_Table 13'!$C$26)</f>
        <v>0.43677305747940631</v>
      </c>
      <c r="H184" s="193">
        <f>IF(G184="","",$B184*'AEO 2018_Table 13'!H$26/'AEO 2018_Table 13'!$C$26)</f>
        <v>0.43590025703960589</v>
      </c>
      <c r="I184" s="193">
        <f>IF(H184="","",$B184*'AEO 2018_Table 13'!I$26/'AEO 2018_Table 13'!$C$26)</f>
        <v>0.43571459720692224</v>
      </c>
      <c r="J184" s="193">
        <f>IF(I184="","",$B184*'AEO 2018_Table 13'!J$26/'AEO 2018_Table 13'!$C$26)</f>
        <v>0.43543236010818243</v>
      </c>
      <c r="K184" s="193">
        <f>IF(J184="","",$B184*'AEO 2018_Table 13'!K$26/'AEO 2018_Table 13'!$C$26)</f>
        <v>0.43471030748347356</v>
      </c>
      <c r="L184" s="193">
        <f>IF(K184="","",$B184*'AEO 2018_Table 13'!L$26/'AEO 2018_Table 13'!$C$26)</f>
        <v>0.43404432280006067</v>
      </c>
      <c r="M184" s="193">
        <f>IF(L184="","",$B184*'AEO 2018_Table 13'!M$26/'AEO 2018_Table 13'!$C$26)</f>
        <v>0.43388721872089647</v>
      </c>
      <c r="N184" s="193">
        <f>IF(M184="","",$B184*'AEO 2018_Table 13'!N$26/'AEO 2018_Table 13'!$C$26)</f>
        <v>0.43388133680488916</v>
      </c>
      <c r="O184" s="193">
        <f>IF(N184="","",$B184*'AEO 2018_Table 13'!O$26/'AEO 2018_Table 13'!$C$26)</f>
        <v>0.43394176874838408</v>
      </c>
      <c r="P184" s="193">
        <f>IF(O184="","",$B184*'AEO 2018_Table 13'!P$26/'AEO 2018_Table 13'!$C$26)</f>
        <v>0.43370582802079888</v>
      </c>
      <c r="Q184" s="193">
        <f>IF(P184="","",$B184*'AEO 2018_Table 13'!Q$26/'AEO 2018_Table 13'!$C$26)</f>
        <v>0.4335852487426482</v>
      </c>
      <c r="R184" s="193">
        <f>IF(Q184="","",$B184*'AEO 2018_Table 13'!R$26/'AEO 2018_Table 13'!$C$26)</f>
        <v>0.43345698502584273</v>
      </c>
      <c r="S184" s="193">
        <f>IF(R184="","",$B184*'AEO 2018_Table 13'!S$26/'AEO 2018_Table 13'!$C$26)</f>
        <v>0.43310245728198027</v>
      </c>
      <c r="T184" s="193">
        <f>IF(S184="","",$B184*'AEO 2018_Table 13'!T$26/'AEO 2018_Table 13'!$C$26)</f>
        <v>0.43265078305438348</v>
      </c>
      <c r="U184" s="193">
        <f>IF(T184="","",$B184*'AEO 2018_Table 13'!U$26/'AEO 2018_Table 13'!$C$26)</f>
        <v>0.43212824122585952</v>
      </c>
      <c r="V184" s="193">
        <f>IF(U184="","",$B184*'AEO 2018_Table 13'!V$26/'AEO 2018_Table 13'!$C$26)</f>
        <v>0.43170417405565215</v>
      </c>
      <c r="W184" s="193">
        <f>IF(V184="","",$B184*'AEO 2018_Table 13'!W$26/'AEO 2018_Table 13'!$C$26)</f>
        <v>0.43098468291049485</v>
      </c>
      <c r="X184" s="193">
        <f>IF(W184="","",$B184*'AEO 2018_Table 13'!X$26/'AEO 2018_Table 13'!$C$26)</f>
        <v>0.43023303096652327</v>
      </c>
      <c r="Y184" s="193">
        <f>IF(X184="","",$B184*'AEO 2018_Table 13'!Y$26/'AEO 2018_Table 13'!$C$26)</f>
        <v>0.42949551459489183</v>
      </c>
      <c r="Z184" s="193">
        <f>IF(Y184="","",$B184*'AEO 2018_Table 13'!Z$26/'AEO 2018_Table 13'!$C$26)</f>
        <v>0.42894536570897851</v>
      </c>
      <c r="AA184" s="193">
        <f>IF(Z184="","",$B184*'AEO 2018_Table 13'!AA$26/'AEO 2018_Table 13'!$C$26)</f>
        <v>0.4286544954754537</v>
      </c>
      <c r="AB184" s="193">
        <f>IF(AA184="","",$B184*'AEO 2018_Table 13'!AB$26/'AEO 2018_Table 13'!$C$26)</f>
        <v>0.42851143209901688</v>
      </c>
      <c r="AC184" s="193">
        <f>IF(AB184="","",$B184*'AEO 2018_Table 13'!AC$26/'AEO 2018_Table 13'!$C$26)</f>
        <v>0.42837899411923847</v>
      </c>
      <c r="AD184" s="193">
        <f>IF(AC184="","",$B184*'AEO 2018_Table 13'!AD$26/'AEO 2018_Table 13'!$C$26)</f>
        <v>0.42846058198643711</v>
      </c>
      <c r="AE184" s="193">
        <f>IF(AD184="","",$B184*'AEO 2018_Table 13'!AE$26/'AEO 2018_Table 13'!$C$26)</f>
        <v>0.42876331092158965</v>
      </c>
      <c r="AF184" s="193">
        <f>IF(AE184="","",$B184*'AEO 2018_Table 13'!AF$26/'AEO 2018_Table 13'!$C$26)</f>
        <v>0.42903909688664404</v>
      </c>
      <c r="AG184" s="193">
        <f>IF(AF184="","",$B184*'AEO 2018_Table 13'!AG$26/'AEO 2018_Table 13'!$C$26)</f>
        <v>0.4293433437356049</v>
      </c>
      <c r="AH184" s="193">
        <f>IF(AG184="","",$B184*'AEO 2018_Table 13'!AH$26/'AEO 2018_Table 13'!$C$26)</f>
        <v>0.42964427014811007</v>
      </c>
      <c r="AI184" s="193">
        <f>IF(AH184="","",$B184*'AEO 2018_Table 13'!AI$26/'AEO 2018_Table 13'!$C$26)</f>
        <v>0.42993817620925151</v>
      </c>
      <c r="AJ184" s="193">
        <f>IF(AI184="","",$B184*'AEO 2018_Table 13'!AJ$26/'AEO 2018_Table 13'!$C$26)</f>
        <v>0.4301551430142323</v>
      </c>
      <c r="AK184" s="193">
        <f>IF(AJ184="","",$B184*'AEO 2018_Table 13'!AK$26/'AEO 2018_Table 13'!$C$26)</f>
        <v>0.43029744743376502</v>
      </c>
    </row>
    <row r="185" spans="1:37" x14ac:dyDescent="0.25">
      <c r="A185" s="206" t="s">
        <v>1303</v>
      </c>
      <c r="B185" s="195">
        <v>0.38020184494672715</v>
      </c>
      <c r="C185" s="193">
        <f>IF(B185="","",$B185*'AEO 2018_Table 13'!C$26/'AEO 2018_Table 13'!$C$26)</f>
        <v>0.38020184494672715</v>
      </c>
      <c r="D185" s="193">
        <f>IF(C185="","",$B185*'AEO 2018_Table 13'!D$26/'AEO 2018_Table 13'!$C$26)</f>
        <v>0.38334993311092608</v>
      </c>
      <c r="E185" s="193">
        <f>IF(D185="","",$B185*'AEO 2018_Table 13'!E$26/'AEO 2018_Table 13'!$C$26)</f>
        <v>0.41481926438357725</v>
      </c>
      <c r="F185" s="193">
        <f>IF(E185="","",$B185*'AEO 2018_Table 13'!F$26/'AEO 2018_Table 13'!$C$26)</f>
        <v>0.40398370540253614</v>
      </c>
      <c r="G185" s="193">
        <f>IF(F185="","",$B185*'AEO 2018_Table 13'!G$26/'AEO 2018_Table 13'!$C$26)</f>
        <v>0.4028567568668962</v>
      </c>
      <c r="H185" s="193">
        <f>IF(G185="","",$B185*'AEO 2018_Table 13'!H$26/'AEO 2018_Table 13'!$C$26)</f>
        <v>0.40205173112515485</v>
      </c>
      <c r="I185" s="193">
        <f>IF(H185="","",$B185*'AEO 2018_Table 13'!I$26/'AEO 2018_Table 13'!$C$26)</f>
        <v>0.40188048814943872</v>
      </c>
      <c r="J185" s="193">
        <f>IF(I185="","",$B185*'AEO 2018_Table 13'!J$26/'AEO 2018_Table 13'!$C$26)</f>
        <v>0.401620167325343</v>
      </c>
      <c r="K185" s="193">
        <f>IF(J185="","",$B185*'AEO 2018_Table 13'!K$26/'AEO 2018_Table 13'!$C$26)</f>
        <v>0.40095418352964801</v>
      </c>
      <c r="L185" s="193">
        <f>IF(K185="","",$B185*'AEO 2018_Table 13'!L$26/'AEO 2018_Table 13'!$C$26)</f>
        <v>0.40033991388758022</v>
      </c>
      <c r="M185" s="193">
        <f>IF(L185="","",$B185*'AEO 2018_Table 13'!M$26/'AEO 2018_Table 13'!$C$26)</f>
        <v>0.4001950092540667</v>
      </c>
      <c r="N185" s="193">
        <f>IF(M185="","",$B185*'AEO 2018_Table 13'!N$26/'AEO 2018_Table 13'!$C$26)</f>
        <v>0.40018958408058974</v>
      </c>
      <c r="O185" s="193">
        <f>IF(N185="","",$B185*'AEO 2018_Table 13'!O$26/'AEO 2018_Table 13'!$C$26)</f>
        <v>0.40024532336292556</v>
      </c>
      <c r="P185" s="193">
        <f>IF(O185="","",$B185*'AEO 2018_Table 13'!P$26/'AEO 2018_Table 13'!$C$26)</f>
        <v>0.40002770390426134</v>
      </c>
      <c r="Q185" s="193">
        <f>IF(P185="","",$B185*'AEO 2018_Table 13'!Q$26/'AEO 2018_Table 13'!$C$26)</f>
        <v>0.39991648784798378</v>
      </c>
      <c r="R185" s="193">
        <f>IF(Q185="","",$B185*'AEO 2018_Table 13'!R$26/'AEO 2018_Table 13'!$C$26)</f>
        <v>0.39979818406506701</v>
      </c>
      <c r="S185" s="193">
        <f>IF(R185="","",$B185*'AEO 2018_Table 13'!S$26/'AEO 2018_Table 13'!$C$26)</f>
        <v>0.3994711861088836</v>
      </c>
      <c r="T185" s="193">
        <f>IF(S185="","",$B185*'AEO 2018_Table 13'!T$26/'AEO 2018_Table 13'!$C$26)</f>
        <v>0.3990545852875324</v>
      </c>
      <c r="U185" s="193">
        <f>IF(T185="","",$B185*'AEO 2018_Table 13'!U$26/'AEO 2018_Table 13'!$C$26)</f>
        <v>0.39857261987606374</v>
      </c>
      <c r="V185" s="193">
        <f>IF(U185="","",$B185*'AEO 2018_Table 13'!V$26/'AEO 2018_Table 13'!$C$26)</f>
        <v>0.39818148236893508</v>
      </c>
      <c r="W185" s="193">
        <f>IF(V185="","",$B185*'AEO 2018_Table 13'!W$26/'AEO 2018_Table 13'!$C$26)</f>
        <v>0.39751786114878651</v>
      </c>
      <c r="X185" s="193">
        <f>IF(W185="","",$B185*'AEO 2018_Table 13'!X$26/'AEO 2018_Table 13'!$C$26)</f>
        <v>0.39682457648011071</v>
      </c>
      <c r="Y185" s="193">
        <f>IF(X185="","",$B185*'AEO 2018_Table 13'!Y$26/'AEO 2018_Table 13'!$C$26)</f>
        <v>0.39614432972833924</v>
      </c>
      <c r="Z185" s="193">
        <f>IF(Y185="","",$B185*'AEO 2018_Table 13'!Z$26/'AEO 2018_Table 13'!$C$26)</f>
        <v>0.39563690100264814</v>
      </c>
      <c r="AA185" s="193">
        <f>IF(Z185="","",$B185*'AEO 2018_Table 13'!AA$26/'AEO 2018_Table 13'!$C$26)</f>
        <v>0.39536861742393303</v>
      </c>
      <c r="AB185" s="193">
        <f>IF(AA185="","",$B185*'AEO 2018_Table 13'!AB$26/'AEO 2018_Table 13'!$C$26)</f>
        <v>0.39523666320452583</v>
      </c>
      <c r="AC185" s="193">
        <f>IF(AB185="","",$B185*'AEO 2018_Table 13'!AC$26/'AEO 2018_Table 13'!$C$26)</f>
        <v>0.39511450929849645</v>
      </c>
      <c r="AD185" s="193">
        <f>IF(AC185="","",$B185*'AEO 2018_Table 13'!AD$26/'AEO 2018_Table 13'!$C$26)</f>
        <v>0.39518976170478959</v>
      </c>
      <c r="AE185" s="193">
        <f>IF(AD185="","",$B185*'AEO 2018_Table 13'!AE$26/'AEO 2018_Table 13'!$C$26)</f>
        <v>0.39546898313325662</v>
      </c>
      <c r="AF185" s="193">
        <f>IF(AE185="","",$B185*'AEO 2018_Table 13'!AF$26/'AEO 2018_Table 13'!$C$26)</f>
        <v>0.39572335376708734</v>
      </c>
      <c r="AG185" s="193">
        <f>IF(AF185="","",$B185*'AEO 2018_Table 13'!AG$26/'AEO 2018_Table 13'!$C$26)</f>
        <v>0.3960039752403226</v>
      </c>
      <c r="AH185" s="193">
        <f>IF(AG185="","",$B185*'AEO 2018_Table 13'!AH$26/'AEO 2018_Table 13'!$C$26)</f>
        <v>0.39628153411562739</v>
      </c>
      <c r="AI185" s="193">
        <f>IF(AH185="","",$B185*'AEO 2018_Table 13'!AI$26/'AEO 2018_Table 13'!$C$26)</f>
        <v>0.39655261778387896</v>
      </c>
      <c r="AJ185" s="193">
        <f>IF(AI185="","",$B185*'AEO 2018_Table 13'!AJ$26/'AEO 2018_Table 13'!$C$26)</f>
        <v>0.39675273668294009</v>
      </c>
      <c r="AK185" s="193">
        <f>IF(AJ185="","",$B185*'AEO 2018_Table 13'!AK$26/'AEO 2018_Table 13'!$C$26)</f>
        <v>0.39688399087996318</v>
      </c>
    </row>
    <row r="186" spans="1:37" x14ac:dyDescent="0.25">
      <c r="A186" s="207" t="s">
        <v>1304</v>
      </c>
      <c r="B186" s="191"/>
      <c r="C186" s="193" t="str">
        <f>IF(B186="","",$B186*'AEO 2018_Table 13'!C$26/'AEO 2018_Table 13'!$C$26)</f>
        <v/>
      </c>
      <c r="D186" s="193" t="str">
        <f>IF(C186="","",$B186*'AEO 2018_Table 13'!D$26/'AEO 2018_Table 13'!$C$26)</f>
        <v/>
      </c>
      <c r="E186" s="193" t="str">
        <f>IF(D186="","",$B186*'AEO 2018_Table 13'!E$26/'AEO 2018_Table 13'!$C$26)</f>
        <v/>
      </c>
      <c r="F186" s="193" t="str">
        <f>IF(E186="","",$B186*'AEO 2018_Table 13'!F$26/'AEO 2018_Table 13'!$C$26)</f>
        <v/>
      </c>
      <c r="G186" s="193" t="str">
        <f>IF(F186="","",$B186*'AEO 2018_Table 13'!G$26/'AEO 2018_Table 13'!$C$26)</f>
        <v/>
      </c>
      <c r="H186" s="193" t="str">
        <f>IF(G186="","",$B186*'AEO 2018_Table 13'!H$26/'AEO 2018_Table 13'!$C$26)</f>
        <v/>
      </c>
      <c r="I186" s="193" t="str">
        <f>IF(H186="","",$B186*'AEO 2018_Table 13'!I$26/'AEO 2018_Table 13'!$C$26)</f>
        <v/>
      </c>
      <c r="J186" s="193" t="str">
        <f>IF(I186="","",$B186*'AEO 2018_Table 13'!J$26/'AEO 2018_Table 13'!$C$26)</f>
        <v/>
      </c>
      <c r="K186" s="193" t="str">
        <f>IF(J186="","",$B186*'AEO 2018_Table 13'!K$26/'AEO 2018_Table 13'!$C$26)</f>
        <v/>
      </c>
      <c r="L186" s="193" t="str">
        <f>IF(K186="","",$B186*'AEO 2018_Table 13'!L$26/'AEO 2018_Table 13'!$C$26)</f>
        <v/>
      </c>
      <c r="M186" s="193" t="str">
        <f>IF(L186="","",$B186*'AEO 2018_Table 13'!M$26/'AEO 2018_Table 13'!$C$26)</f>
        <v/>
      </c>
      <c r="N186" s="193" t="str">
        <f>IF(M186="","",$B186*'AEO 2018_Table 13'!N$26/'AEO 2018_Table 13'!$C$26)</f>
        <v/>
      </c>
      <c r="O186" s="193" t="str">
        <f>IF(N186="","",$B186*'AEO 2018_Table 13'!O$26/'AEO 2018_Table 13'!$C$26)</f>
        <v/>
      </c>
      <c r="P186" s="193" t="str">
        <f>IF(O186="","",$B186*'AEO 2018_Table 13'!P$26/'AEO 2018_Table 13'!$C$26)</f>
        <v/>
      </c>
      <c r="Q186" s="193" t="str">
        <f>IF(P186="","",$B186*'AEO 2018_Table 13'!Q$26/'AEO 2018_Table 13'!$C$26)</f>
        <v/>
      </c>
      <c r="R186" s="193" t="str">
        <f>IF(Q186="","",$B186*'AEO 2018_Table 13'!R$26/'AEO 2018_Table 13'!$C$26)</f>
        <v/>
      </c>
      <c r="S186" s="193" t="str">
        <f>IF(R186="","",$B186*'AEO 2018_Table 13'!S$26/'AEO 2018_Table 13'!$C$26)</f>
        <v/>
      </c>
      <c r="T186" s="193" t="str">
        <f>IF(S186="","",$B186*'AEO 2018_Table 13'!T$26/'AEO 2018_Table 13'!$C$26)</f>
        <v/>
      </c>
      <c r="U186" s="193" t="str">
        <f>IF(T186="","",$B186*'AEO 2018_Table 13'!U$26/'AEO 2018_Table 13'!$C$26)</f>
        <v/>
      </c>
      <c r="V186" s="193" t="str">
        <f>IF(U186="","",$B186*'AEO 2018_Table 13'!V$26/'AEO 2018_Table 13'!$C$26)</f>
        <v/>
      </c>
      <c r="W186" s="193" t="str">
        <f>IF(V186="","",$B186*'AEO 2018_Table 13'!W$26/'AEO 2018_Table 13'!$C$26)</f>
        <v/>
      </c>
      <c r="X186" s="193" t="str">
        <f>IF(W186="","",$B186*'AEO 2018_Table 13'!X$26/'AEO 2018_Table 13'!$C$26)</f>
        <v/>
      </c>
      <c r="Y186" s="193" t="str">
        <f>IF(X186="","",$B186*'AEO 2018_Table 13'!Y$26/'AEO 2018_Table 13'!$C$26)</f>
        <v/>
      </c>
      <c r="Z186" s="193" t="str">
        <f>IF(Y186="","",$B186*'AEO 2018_Table 13'!Z$26/'AEO 2018_Table 13'!$C$26)</f>
        <v/>
      </c>
      <c r="AA186" s="193" t="str">
        <f>IF(Z186="","",$B186*'AEO 2018_Table 13'!AA$26/'AEO 2018_Table 13'!$C$26)</f>
        <v/>
      </c>
      <c r="AB186" s="193" t="str">
        <f>IF(AA186="","",$B186*'AEO 2018_Table 13'!AB$26/'AEO 2018_Table 13'!$C$26)</f>
        <v/>
      </c>
      <c r="AC186" s="193" t="str">
        <f>IF(AB186="","",$B186*'AEO 2018_Table 13'!AC$26/'AEO 2018_Table 13'!$C$26)</f>
        <v/>
      </c>
      <c r="AD186" s="193" t="str">
        <f>IF(AC186="","",$B186*'AEO 2018_Table 13'!AD$26/'AEO 2018_Table 13'!$C$26)</f>
        <v/>
      </c>
      <c r="AE186" s="193" t="str">
        <f>IF(AD186="","",$B186*'AEO 2018_Table 13'!AE$26/'AEO 2018_Table 13'!$C$26)</f>
        <v/>
      </c>
      <c r="AF186" s="193" t="str">
        <f>IF(AE186="","",$B186*'AEO 2018_Table 13'!AF$26/'AEO 2018_Table 13'!$C$26)</f>
        <v/>
      </c>
      <c r="AG186" s="193" t="str">
        <f>IF(AF186="","",$B186*'AEO 2018_Table 13'!AG$26/'AEO 2018_Table 13'!$C$26)</f>
        <v/>
      </c>
      <c r="AH186" s="193" t="str">
        <f>IF(AG186="","",$B186*'AEO 2018_Table 13'!AH$26/'AEO 2018_Table 13'!$C$26)</f>
        <v/>
      </c>
      <c r="AI186" s="193" t="str">
        <f>IF(AH186="","",$B186*'AEO 2018_Table 13'!AI$26/'AEO 2018_Table 13'!$C$26)</f>
        <v/>
      </c>
      <c r="AJ186" s="193" t="str">
        <f>IF(AI186="","",$B186*'AEO 2018_Table 13'!AJ$26/'AEO 2018_Table 13'!$C$26)</f>
        <v/>
      </c>
      <c r="AK186" s="193" t="str">
        <f>IF(AJ186="","",$B186*'AEO 2018_Table 13'!AK$26/'AEO 2018_Table 13'!$C$26)</f>
        <v/>
      </c>
    </row>
    <row r="187" spans="1:37" x14ac:dyDescent="0.25">
      <c r="A187" s="213" t="s">
        <v>1305</v>
      </c>
      <c r="B187" s="193">
        <v>79.4241063832294</v>
      </c>
      <c r="C187" s="193">
        <f>IF(B187="","",$B187*'AEO 2018_Table 13'!C$26/'AEO 2018_Table 13'!$C$26)</f>
        <v>79.4241063832294</v>
      </c>
      <c r="D187" s="193">
        <f>IF(C187="","",$B187*'AEO 2018_Table 13'!D$26/'AEO 2018_Table 13'!$C$26)</f>
        <v>80.081741511991467</v>
      </c>
      <c r="E187" s="193">
        <f>IF(D187="","",$B187*'AEO 2018_Table 13'!E$26/'AEO 2018_Table 13'!$C$26)</f>
        <v>86.655679929250738</v>
      </c>
      <c r="F187" s="193">
        <f>IF(E187="","",$B187*'AEO 2018_Table 13'!F$26/'AEO 2018_Table 13'!$C$26)</f>
        <v>84.392133340326225</v>
      </c>
      <c r="G187" s="193">
        <f>IF(F187="","",$B187*'AEO 2018_Table 13'!G$26/'AEO 2018_Table 13'!$C$26)</f>
        <v>84.15671396618923</v>
      </c>
      <c r="H187" s="193">
        <f>IF(G187="","",$B187*'AEO 2018_Table 13'!H$26/'AEO 2018_Table 13'!$C$26)</f>
        <v>83.988544213719294</v>
      </c>
      <c r="I187" s="193">
        <f>IF(H187="","",$B187*'AEO 2018_Table 13'!I$26/'AEO 2018_Table 13'!$C$26)</f>
        <v>83.952771582677585</v>
      </c>
      <c r="J187" s="193">
        <f>IF(I187="","",$B187*'AEO 2018_Table 13'!J$26/'AEO 2018_Table 13'!$C$26)</f>
        <v>83.898390602938662</v>
      </c>
      <c r="K187" s="193">
        <f>IF(J187="","",$B187*'AEO 2018_Table 13'!K$26/'AEO 2018_Table 13'!$C$26)</f>
        <v>83.759266691411625</v>
      </c>
      <c r="L187" s="193">
        <f>IF(K187="","",$B187*'AEO 2018_Table 13'!L$26/'AEO 2018_Table 13'!$C$26)</f>
        <v>83.630945858548699</v>
      </c>
      <c r="M187" s="193">
        <f>IF(L187="","",$B187*'AEO 2018_Table 13'!M$26/'AEO 2018_Table 13'!$C$26)</f>
        <v>83.600675303104097</v>
      </c>
      <c r="N187" s="193">
        <f>IF(M187="","",$B187*'AEO 2018_Table 13'!N$26/'AEO 2018_Table 13'!$C$26)</f>
        <v>83.599541985207026</v>
      </c>
      <c r="O187" s="193">
        <f>IF(N187="","",$B187*'AEO 2018_Table 13'!O$26/'AEO 2018_Table 13'!$C$26)</f>
        <v>83.611185912633488</v>
      </c>
      <c r="P187" s="193">
        <f>IF(O187="","",$B187*'AEO 2018_Table 13'!P$26/'AEO 2018_Table 13'!$C$26)</f>
        <v>83.565725241503827</v>
      </c>
      <c r="Q187" s="193">
        <f>IF(P187="","",$B187*'AEO 2018_Table 13'!Q$26/'AEO 2018_Table 13'!$C$26)</f>
        <v>83.542492224613682</v>
      </c>
      <c r="R187" s="193">
        <f>IF(Q187="","",$B187*'AEO 2018_Table 13'!R$26/'AEO 2018_Table 13'!$C$26)</f>
        <v>83.517778582728965</v>
      </c>
      <c r="S187" s="193">
        <f>IF(R187="","",$B187*'AEO 2018_Table 13'!S$26/'AEO 2018_Table 13'!$C$26)</f>
        <v>83.449468760448511</v>
      </c>
      <c r="T187" s="193">
        <f>IF(S187="","",$B187*'AEO 2018_Table 13'!T$26/'AEO 2018_Table 13'!$C$26)</f>
        <v>83.362440913545328</v>
      </c>
      <c r="U187" s="193">
        <f>IF(T187="","",$B187*'AEO 2018_Table 13'!U$26/'AEO 2018_Table 13'!$C$26)</f>
        <v>83.261758413914407</v>
      </c>
      <c r="V187" s="193">
        <f>IF(U187="","",$B187*'AEO 2018_Table 13'!V$26/'AEO 2018_Table 13'!$C$26)</f>
        <v>83.180049849399126</v>
      </c>
      <c r="W187" s="193">
        <f>IF(V187="","",$B187*'AEO 2018_Table 13'!W$26/'AEO 2018_Table 13'!$C$26)</f>
        <v>83.041419479536941</v>
      </c>
      <c r="X187" s="193">
        <f>IF(W187="","",$B187*'AEO 2018_Table 13'!X$26/'AEO 2018_Table 13'!$C$26)</f>
        <v>82.896592419882666</v>
      </c>
      <c r="Y187" s="193">
        <f>IF(X187="","",$B187*'AEO 2018_Table 13'!Y$26/'AEO 2018_Table 13'!$C$26)</f>
        <v>82.754488979045561</v>
      </c>
      <c r="Z187" s="193">
        <f>IF(Y187="","",$B187*'AEO 2018_Table 13'!Z$26/'AEO 2018_Table 13'!$C$26)</f>
        <v>82.648487197026739</v>
      </c>
      <c r="AA187" s="193">
        <f>IF(Z187="","",$B187*'AEO 2018_Table 13'!AA$26/'AEO 2018_Table 13'!$C$26)</f>
        <v>82.592442799084054</v>
      </c>
      <c r="AB187" s="193">
        <f>IF(AA187="","",$B187*'AEO 2018_Table 13'!AB$26/'AEO 2018_Table 13'!$C$26)</f>
        <v>82.564877583135697</v>
      </c>
      <c r="AC187" s="193">
        <f>IF(AB187="","",$B187*'AEO 2018_Table 13'!AC$26/'AEO 2018_Table 13'!$C$26)</f>
        <v>82.539359651130496</v>
      </c>
      <c r="AD187" s="193">
        <f>IF(AC187="","",$B187*'AEO 2018_Table 13'!AD$26/'AEO 2018_Table 13'!$C$26)</f>
        <v>82.555079867122245</v>
      </c>
      <c r="AE187" s="193">
        <f>IF(AD187="","",$B187*'AEO 2018_Table 13'!AE$26/'AEO 2018_Table 13'!$C$26)</f>
        <v>82.613409180180014</v>
      </c>
      <c r="AF187" s="193">
        <f>IF(AE187="","",$B187*'AEO 2018_Table 13'!AF$26/'AEO 2018_Table 13'!$C$26)</f>
        <v>82.66654716609635</v>
      </c>
      <c r="AG187" s="193">
        <f>IF(AF187="","",$B187*'AEO 2018_Table 13'!AG$26/'AEO 2018_Table 13'!$C$26)</f>
        <v>82.725168948288839</v>
      </c>
      <c r="AH187" s="193">
        <f>IF(AG187="","",$B187*'AEO 2018_Table 13'!AH$26/'AEO 2018_Table 13'!$C$26)</f>
        <v>82.783150954249137</v>
      </c>
      <c r="AI187" s="193">
        <f>IF(AH187="","",$B187*'AEO 2018_Table 13'!AI$26/'AEO 2018_Table 13'!$C$26)</f>
        <v>82.839780290461292</v>
      </c>
      <c r="AJ187" s="193">
        <f>IF(AI187="","",$B187*'AEO 2018_Table 13'!AJ$26/'AEO 2018_Table 13'!$C$26)</f>
        <v>82.881585097406813</v>
      </c>
      <c r="AK187" s="193">
        <f>IF(AJ187="","",$B187*'AEO 2018_Table 13'!AK$26/'AEO 2018_Table 13'!$C$26)</f>
        <v>82.909004078787774</v>
      </c>
    </row>
    <row r="188" spans="1:37" x14ac:dyDescent="0.25">
      <c r="A188" s="206" t="s">
        <v>1306</v>
      </c>
      <c r="B188" s="195">
        <v>54.619124943722724</v>
      </c>
      <c r="C188" s="193">
        <f>IF(B188="","",$B188*SUM('AEO 2018_Table 13'!D$27:D$29,'AEO 2018_Table 13'!D$34)/SUM('AEO 2018_Table 13'!$C$27:$C$29,'AEO 2018_Table 13'!$C$34))</f>
        <v>54.998124606020575</v>
      </c>
      <c r="D188" s="193">
        <f>IF(C188="","",$B188*SUM('AEO 2018_Table 13'!E$27:E$29,'AEO 2018_Table 13'!E$34)/SUM('AEO 2018_Table 13'!$C$27:$C$29,'AEO 2018_Table 13'!$C$34))</f>
        <v>57.064142923636254</v>
      </c>
      <c r="E188" s="193">
        <f>IF(D188="","",$B188*SUM('AEO 2018_Table 13'!F$27:F$29,'AEO 2018_Table 13'!F$34)/SUM('AEO 2018_Table 13'!$C$27:$C$29,'AEO 2018_Table 13'!$C$34))</f>
        <v>58.550790647912116</v>
      </c>
      <c r="F188" s="193">
        <f>IF(E188="","",$B188*SUM('AEO 2018_Table 13'!G$27:G$29,'AEO 2018_Table 13'!G$34)/SUM('AEO 2018_Table 13'!$C$27:$C$29,'AEO 2018_Table 13'!$C$34))</f>
        <v>60.514314501375033</v>
      </c>
      <c r="G188" s="193">
        <f>IF(F188="","",$B188*SUM('AEO 2018_Table 13'!H$27:H$29,'AEO 2018_Table 13'!H$34)/SUM('AEO 2018_Table 13'!$C$27:$C$29,'AEO 2018_Table 13'!$C$34))</f>
        <v>61.514628082837504</v>
      </c>
      <c r="H188" s="193">
        <f>IF(G188="","",$B188*SUM('AEO 2018_Table 13'!I$27:I$29,'AEO 2018_Table 13'!I$34)/SUM('AEO 2018_Table 13'!$C$27:$C$29,'AEO 2018_Table 13'!$C$34))</f>
        <v>62.292559498563413</v>
      </c>
      <c r="I188" s="193">
        <f>IF(H188="","",$B188*SUM('AEO 2018_Table 13'!J$27:J$29,'AEO 2018_Table 13'!J$34)/SUM('AEO 2018_Table 13'!$C$27:$C$29,'AEO 2018_Table 13'!$C$34))</f>
        <v>62.970945386171934</v>
      </c>
      <c r="J188" s="193">
        <f>IF(I188="","",$B188*SUM('AEO 2018_Table 13'!K$27:K$29,'AEO 2018_Table 13'!K$34)/SUM('AEO 2018_Table 13'!$C$27:$C$29,'AEO 2018_Table 13'!$C$34))</f>
        <v>63.072596177747698</v>
      </c>
      <c r="K188" s="193">
        <f>IF(J188="","",$B188*SUM('AEO 2018_Table 13'!L$27:L$29,'AEO 2018_Table 13'!L$34)/SUM('AEO 2018_Table 13'!$C$27:$C$29,'AEO 2018_Table 13'!$C$34))</f>
        <v>63.277511970349977</v>
      </c>
      <c r="L188" s="193">
        <f>IF(K188="","",$B188*SUM('AEO 2018_Table 13'!M$27:M$29,'AEO 2018_Table 13'!M$34)/SUM('AEO 2018_Table 13'!$C$27:$C$29,'AEO 2018_Table 13'!$C$34))</f>
        <v>63.604731554733327</v>
      </c>
      <c r="M188" s="193">
        <f>IF(L188="","",$B188*SUM('AEO 2018_Table 13'!N$27:N$29,'AEO 2018_Table 13'!N$34)/SUM('AEO 2018_Table 13'!$C$27:$C$29,'AEO 2018_Table 13'!$C$34))</f>
        <v>64.110036576576832</v>
      </c>
      <c r="N188" s="193">
        <f>IF(M188="","",$B188*SUM('AEO 2018_Table 13'!O$27:O$29,'AEO 2018_Table 13'!O$34)/SUM('AEO 2018_Table 13'!$C$27:$C$29,'AEO 2018_Table 13'!$C$34))</f>
        <v>64.690898615865478</v>
      </c>
      <c r="O188" s="193">
        <f>IF(N188="","",$B188*SUM('AEO 2018_Table 13'!P$27:P$29,'AEO 2018_Table 13'!P$34)/SUM('AEO 2018_Table 13'!$C$27:$C$29,'AEO 2018_Table 13'!$C$34))</f>
        <v>65.136509231905009</v>
      </c>
      <c r="P188" s="193">
        <f>IF(O188="","",$B188*SUM('AEO 2018_Table 13'!Q$27:Q$29,'AEO 2018_Table 13'!Q$34)/SUM('AEO 2018_Table 13'!$C$27:$C$29,'AEO 2018_Table 13'!$C$34))</f>
        <v>65.559847414309701</v>
      </c>
      <c r="Q188" s="193">
        <f>IF(P188="","",$B188*SUM('AEO 2018_Table 13'!R$27:R$29,'AEO 2018_Table 13'!R$34)/SUM('AEO 2018_Table 13'!$C$27:$C$29,'AEO 2018_Table 13'!$C$34))</f>
        <v>65.959907547159631</v>
      </c>
      <c r="R188" s="193">
        <f>IF(Q188="","",$B188*SUM('AEO 2018_Table 13'!S$27:S$29,'AEO 2018_Table 13'!S$34)/SUM('AEO 2018_Table 13'!$C$27:$C$29,'AEO 2018_Table 13'!$C$34))</f>
        <v>66.466155497177425</v>
      </c>
      <c r="S188" s="193">
        <f>IF(R188="","",$B188*SUM('AEO 2018_Table 13'!T$27:T$29,'AEO 2018_Table 13'!T$34)/SUM('AEO 2018_Table 13'!$C$27:$C$29,'AEO 2018_Table 13'!$C$34))</f>
        <v>66.923376406110918</v>
      </c>
      <c r="T188" s="193">
        <f>IF(S188="","",$B188*SUM('AEO 2018_Table 13'!U$27:U$29,'AEO 2018_Table 13'!U$34)/SUM('AEO 2018_Table 13'!$C$27:$C$29,'AEO 2018_Table 13'!$C$34))</f>
        <v>67.435208789471176</v>
      </c>
      <c r="U188" s="193">
        <f>IF(T188="","",$B188*SUM('AEO 2018_Table 13'!V$27:V$29,'AEO 2018_Table 13'!V$34)/SUM('AEO 2018_Table 13'!$C$27:$C$29,'AEO 2018_Table 13'!$C$34))</f>
        <v>67.968893076172478</v>
      </c>
      <c r="V188" s="193">
        <f>IF(U188="","",$B188*SUM('AEO 2018_Table 13'!W$27:W$29,'AEO 2018_Table 13'!W$34)/SUM('AEO 2018_Table 13'!$C$27:$C$29,'AEO 2018_Table 13'!$C$34))</f>
        <v>68.365437471286683</v>
      </c>
      <c r="W188" s="193">
        <f>IF(V188="","",$B188*SUM('AEO 2018_Table 13'!X$27:X$29,'AEO 2018_Table 13'!X$34)/SUM('AEO 2018_Table 13'!$C$27:$C$29,'AEO 2018_Table 13'!$C$34))</f>
        <v>69.05405974536346</v>
      </c>
      <c r="X188" s="193">
        <f>IF(W188="","",$B188*SUM('AEO 2018_Table 13'!Y$27:Y$29,'AEO 2018_Table 13'!Y$34)/SUM('AEO 2018_Table 13'!$C$27:$C$29,'AEO 2018_Table 13'!$C$34))</f>
        <v>69.722749928310023</v>
      </c>
      <c r="Y188" s="193">
        <f>IF(X188="","",$B188*SUM('AEO 2018_Table 13'!Z$27:Z$29,'AEO 2018_Table 13'!Z$34)/SUM('AEO 2018_Table 13'!$C$27:$C$29,'AEO 2018_Table 13'!$C$34))</f>
        <v>70.275789056483589</v>
      </c>
      <c r="Z188" s="193">
        <f>IF(Y188="","",$B188*SUM('AEO 2018_Table 13'!AA$27:AA$29,'AEO 2018_Table 13'!AA$34)/SUM('AEO 2018_Table 13'!$C$27:$C$29,'AEO 2018_Table 13'!$C$34))</f>
        <v>70.851181589963446</v>
      </c>
      <c r="AA188" s="193">
        <f>IF(Z188="","",$B188*SUM('AEO 2018_Table 13'!AB$27:AB$29,'AEO 2018_Table 13'!AB$34)/SUM('AEO 2018_Table 13'!$C$27:$C$29,'AEO 2018_Table 13'!$C$34))</f>
        <v>71.392999611664024</v>
      </c>
      <c r="AB188" s="193">
        <f>IF(AA188="","",$B188*SUM('AEO 2018_Table 13'!AC$27:AC$29,'AEO 2018_Table 13'!AC$34)/SUM('AEO 2018_Table 13'!$C$27:$C$29,'AEO 2018_Table 13'!$C$34))</f>
        <v>71.833736255478556</v>
      </c>
      <c r="AC188" s="193">
        <f>IF(AB188="","",$B188*SUM('AEO 2018_Table 13'!AD$27:AD$29,'AEO 2018_Table 13'!AD$34)/SUM('AEO 2018_Table 13'!$C$27:$C$29,'AEO 2018_Table 13'!$C$34))</f>
        <v>72.35998943232984</v>
      </c>
      <c r="AD188" s="193">
        <f>IF(AC188="","",$B188*SUM('AEO 2018_Table 13'!AE$27:AE$29,'AEO 2018_Table 13'!AE$34)/SUM('AEO 2018_Table 13'!$C$27:$C$29,'AEO 2018_Table 13'!$C$34))</f>
        <v>72.810406108869913</v>
      </c>
      <c r="AE188" s="193">
        <f>IF(AD188="","",$B188*SUM('AEO 2018_Table 13'!AF$27:AF$29,'AEO 2018_Table 13'!AF$34)/SUM('AEO 2018_Table 13'!$C$27:$C$29,'AEO 2018_Table 13'!$C$34))</f>
        <v>73.319707474499197</v>
      </c>
      <c r="AF188" s="193">
        <f>IF(AE188="","",$B188*SUM('AEO 2018_Table 13'!AG$27:AG$29,'AEO 2018_Table 13'!AG$34)/SUM('AEO 2018_Table 13'!$C$27:$C$29,'AEO 2018_Table 13'!$C$34))</f>
        <v>73.708039774932061</v>
      </c>
      <c r="AG188" s="193">
        <f>IF(AF188="","",$B188*SUM('AEO 2018_Table 13'!AH$27:AH$29,'AEO 2018_Table 13'!AH$34)/SUM('AEO 2018_Table 13'!$C$27:$C$29,'AEO 2018_Table 13'!$C$34))</f>
        <v>74.110586521693122</v>
      </c>
      <c r="AH188" s="193">
        <f>IF(AG188="","",$B188*SUM('AEO 2018_Table 13'!AI$27:AI$29,'AEO 2018_Table 13'!AI$34)/SUM('AEO 2018_Table 13'!$C$27:$C$29,'AEO 2018_Table 13'!$C$34))</f>
        <v>74.589061188394481</v>
      </c>
      <c r="AI188" s="193">
        <f>IF(AH188="","",$B188*SUM('AEO 2018_Table 13'!AJ$27:AJ$29,'AEO 2018_Table 13'!AJ$34)/SUM('AEO 2018_Table 13'!$C$27:$C$29,'AEO 2018_Table 13'!$C$34))</f>
        <v>75.035857647622734</v>
      </c>
      <c r="AJ188" s="193">
        <f>IF(AI188="","",$B188*SUM('AEO 2018_Table 13'!AK$27:AK$29,'AEO 2018_Table 13'!AK$34)/SUM('AEO 2018_Table 13'!$C$27:$C$29,'AEO 2018_Table 13'!$C$34))</f>
        <v>75.53675363135487</v>
      </c>
      <c r="AK188" s="193">
        <f>IF(AJ188="","",$B188*SUM('AEO 2018_Table 13'!AL$27:AL$29,'AEO 2018_Table 13'!AL$34)/SUM('AEO 2018_Table 13'!$C$27:$C$29,'AEO 2018_Table 13'!$C$34))</f>
        <v>0.1227040073990909</v>
      </c>
    </row>
    <row r="189" spans="1:37" x14ac:dyDescent="0.25">
      <c r="A189" s="186" t="s">
        <v>1307</v>
      </c>
      <c r="B189" s="188"/>
      <c r="C189" s="193" t="str">
        <f>IF(B189="","",$B189*'AEO 2018_Table 13'!C$26/'AEO 2018_Table 13'!$C$26)</f>
        <v/>
      </c>
      <c r="D189" s="193" t="str">
        <f>IF(C189="","",$B189*'AEO 2018_Table 13'!D$26/'AEO 2018_Table 13'!$C$26)</f>
        <v/>
      </c>
      <c r="E189" s="193" t="str">
        <f>IF(D189="","",$B189*'AEO 2018_Table 13'!E$26/'AEO 2018_Table 13'!$C$26)</f>
        <v/>
      </c>
      <c r="F189" s="193" t="str">
        <f>IF(E189="","",$B189*'AEO 2018_Table 13'!F$26/'AEO 2018_Table 13'!$C$26)</f>
        <v/>
      </c>
      <c r="G189" s="193" t="str">
        <f>IF(F189="","",$B189*'AEO 2018_Table 13'!G$26/'AEO 2018_Table 13'!$C$26)</f>
        <v/>
      </c>
      <c r="H189" s="193" t="str">
        <f>IF(G189="","",$B189*'AEO 2018_Table 13'!H$26/'AEO 2018_Table 13'!$C$26)</f>
        <v/>
      </c>
      <c r="I189" s="193" t="str">
        <f>IF(H189="","",$B189*'AEO 2018_Table 13'!I$26/'AEO 2018_Table 13'!$C$26)</f>
        <v/>
      </c>
      <c r="J189" s="193" t="str">
        <f>IF(I189="","",$B189*'AEO 2018_Table 13'!J$26/'AEO 2018_Table 13'!$C$26)</f>
        <v/>
      </c>
      <c r="K189" s="193" t="str">
        <f>IF(J189="","",$B189*'AEO 2018_Table 13'!K$26/'AEO 2018_Table 13'!$C$26)</f>
        <v/>
      </c>
      <c r="L189" s="193" t="str">
        <f>IF(K189="","",$B189*'AEO 2018_Table 13'!L$26/'AEO 2018_Table 13'!$C$26)</f>
        <v/>
      </c>
      <c r="M189" s="193" t="str">
        <f>IF(L189="","",$B189*'AEO 2018_Table 13'!M$26/'AEO 2018_Table 13'!$C$26)</f>
        <v/>
      </c>
      <c r="N189" s="193" t="str">
        <f>IF(M189="","",$B189*'AEO 2018_Table 13'!N$26/'AEO 2018_Table 13'!$C$26)</f>
        <v/>
      </c>
      <c r="O189" s="193" t="str">
        <f>IF(N189="","",$B189*'AEO 2018_Table 13'!O$26/'AEO 2018_Table 13'!$C$26)</f>
        <v/>
      </c>
      <c r="P189" s="193" t="str">
        <f>IF(O189="","",$B189*'AEO 2018_Table 13'!P$26/'AEO 2018_Table 13'!$C$26)</f>
        <v/>
      </c>
      <c r="Q189" s="193" t="str">
        <f>IF(P189="","",$B189*'AEO 2018_Table 13'!Q$26/'AEO 2018_Table 13'!$C$26)</f>
        <v/>
      </c>
      <c r="R189" s="193" t="str">
        <f>IF(Q189="","",$B189*'AEO 2018_Table 13'!R$26/'AEO 2018_Table 13'!$C$26)</f>
        <v/>
      </c>
      <c r="S189" s="193" t="str">
        <f>IF(R189="","",$B189*'AEO 2018_Table 13'!S$26/'AEO 2018_Table 13'!$C$26)</f>
        <v/>
      </c>
      <c r="T189" s="193" t="str">
        <f>IF(S189="","",$B189*'AEO 2018_Table 13'!T$26/'AEO 2018_Table 13'!$C$26)</f>
        <v/>
      </c>
      <c r="U189" s="193" t="str">
        <f>IF(T189="","",$B189*'AEO 2018_Table 13'!U$26/'AEO 2018_Table 13'!$C$26)</f>
        <v/>
      </c>
      <c r="V189" s="193" t="str">
        <f>IF(U189="","",$B189*'AEO 2018_Table 13'!V$26/'AEO 2018_Table 13'!$C$26)</f>
        <v/>
      </c>
      <c r="W189" s="193" t="str">
        <f>IF(V189="","",$B189*'AEO 2018_Table 13'!W$26/'AEO 2018_Table 13'!$C$26)</f>
        <v/>
      </c>
      <c r="X189" s="193" t="str">
        <f>IF(W189="","",$B189*'AEO 2018_Table 13'!X$26/'AEO 2018_Table 13'!$C$26)</f>
        <v/>
      </c>
      <c r="Y189" s="193" t="str">
        <f>IF(X189="","",$B189*'AEO 2018_Table 13'!Y$26/'AEO 2018_Table 13'!$C$26)</f>
        <v/>
      </c>
      <c r="Z189" s="193" t="str">
        <f>IF(Y189="","",$B189*'AEO 2018_Table 13'!Z$26/'AEO 2018_Table 13'!$C$26)</f>
        <v/>
      </c>
      <c r="AA189" s="193" t="str">
        <f>IF(Z189="","",$B189*'AEO 2018_Table 13'!AA$26/'AEO 2018_Table 13'!$C$26)</f>
        <v/>
      </c>
      <c r="AB189" s="193" t="str">
        <f>IF(AA189="","",$B189*'AEO 2018_Table 13'!AB$26/'AEO 2018_Table 13'!$C$26)</f>
        <v/>
      </c>
      <c r="AC189" s="193" t="str">
        <f>IF(AB189="","",$B189*'AEO 2018_Table 13'!AC$26/'AEO 2018_Table 13'!$C$26)</f>
        <v/>
      </c>
      <c r="AD189" s="193" t="str">
        <f>IF(AC189="","",$B189*'AEO 2018_Table 13'!AD$26/'AEO 2018_Table 13'!$C$26)</f>
        <v/>
      </c>
      <c r="AE189" s="193" t="str">
        <f>IF(AD189="","",$B189*'AEO 2018_Table 13'!AE$26/'AEO 2018_Table 13'!$C$26)</f>
        <v/>
      </c>
      <c r="AF189" s="193" t="str">
        <f>IF(AE189="","",$B189*'AEO 2018_Table 13'!AF$26/'AEO 2018_Table 13'!$C$26)</f>
        <v/>
      </c>
      <c r="AG189" s="193" t="str">
        <f>IF(AF189="","",$B189*'AEO 2018_Table 13'!AG$26/'AEO 2018_Table 13'!$C$26)</f>
        <v/>
      </c>
      <c r="AH189" s="193" t="str">
        <f>IF(AG189="","",$B189*'AEO 2018_Table 13'!AH$26/'AEO 2018_Table 13'!$C$26)</f>
        <v/>
      </c>
      <c r="AI189" s="193" t="str">
        <f>IF(AH189="","",$B189*'AEO 2018_Table 13'!AI$26/'AEO 2018_Table 13'!$C$26)</f>
        <v/>
      </c>
      <c r="AJ189" s="193" t="str">
        <f>IF(AI189="","",$B189*'AEO 2018_Table 13'!AJ$26/'AEO 2018_Table 13'!$C$26)</f>
        <v/>
      </c>
      <c r="AK189" s="193" t="str">
        <f>IF(AJ189="","",$B189*'AEO 2018_Table 13'!AK$26/'AEO 2018_Table 13'!$C$26)</f>
        <v/>
      </c>
    </row>
    <row r="190" spans="1:37" x14ac:dyDescent="0.25">
      <c r="A190" s="207" t="s">
        <v>1308</v>
      </c>
      <c r="B190" s="191"/>
      <c r="C190" s="193" t="str">
        <f>IF(B190="","",$B190*'AEO 2018_Table 13'!C$26/'AEO 2018_Table 13'!$C$26)</f>
        <v/>
      </c>
      <c r="D190" s="193" t="str">
        <f>IF(C190="","",$B190*'AEO 2018_Table 13'!D$26/'AEO 2018_Table 13'!$C$26)</f>
        <v/>
      </c>
      <c r="E190" s="193" t="str">
        <f>IF(D190="","",$B190*'AEO 2018_Table 13'!E$26/'AEO 2018_Table 13'!$C$26)</f>
        <v/>
      </c>
      <c r="F190" s="193" t="str">
        <f>IF(E190="","",$B190*'AEO 2018_Table 13'!F$26/'AEO 2018_Table 13'!$C$26)</f>
        <v/>
      </c>
      <c r="G190" s="193" t="str">
        <f>IF(F190="","",$B190*'AEO 2018_Table 13'!G$26/'AEO 2018_Table 13'!$C$26)</f>
        <v/>
      </c>
      <c r="H190" s="193" t="str">
        <f>IF(G190="","",$B190*'AEO 2018_Table 13'!H$26/'AEO 2018_Table 13'!$C$26)</f>
        <v/>
      </c>
      <c r="I190" s="193" t="str">
        <f>IF(H190="","",$B190*'AEO 2018_Table 13'!I$26/'AEO 2018_Table 13'!$C$26)</f>
        <v/>
      </c>
      <c r="J190" s="193" t="str">
        <f>IF(I190="","",$B190*'AEO 2018_Table 13'!J$26/'AEO 2018_Table 13'!$C$26)</f>
        <v/>
      </c>
      <c r="K190" s="193" t="str">
        <f>IF(J190="","",$B190*'AEO 2018_Table 13'!K$26/'AEO 2018_Table 13'!$C$26)</f>
        <v/>
      </c>
      <c r="L190" s="193" t="str">
        <f>IF(K190="","",$B190*'AEO 2018_Table 13'!L$26/'AEO 2018_Table 13'!$C$26)</f>
        <v/>
      </c>
      <c r="M190" s="193" t="str">
        <f>IF(L190="","",$B190*'AEO 2018_Table 13'!M$26/'AEO 2018_Table 13'!$C$26)</f>
        <v/>
      </c>
      <c r="N190" s="193" t="str">
        <f>IF(M190="","",$B190*'AEO 2018_Table 13'!N$26/'AEO 2018_Table 13'!$C$26)</f>
        <v/>
      </c>
      <c r="O190" s="193" t="str">
        <f>IF(N190="","",$B190*'AEO 2018_Table 13'!O$26/'AEO 2018_Table 13'!$C$26)</f>
        <v/>
      </c>
      <c r="P190" s="193" t="str">
        <f>IF(O190="","",$B190*'AEO 2018_Table 13'!P$26/'AEO 2018_Table 13'!$C$26)</f>
        <v/>
      </c>
      <c r="Q190" s="193" t="str">
        <f>IF(P190="","",$B190*'AEO 2018_Table 13'!Q$26/'AEO 2018_Table 13'!$C$26)</f>
        <v/>
      </c>
      <c r="R190" s="193" t="str">
        <f>IF(Q190="","",$B190*'AEO 2018_Table 13'!R$26/'AEO 2018_Table 13'!$C$26)</f>
        <v/>
      </c>
      <c r="S190" s="193" t="str">
        <f>IF(R190="","",$B190*'AEO 2018_Table 13'!S$26/'AEO 2018_Table 13'!$C$26)</f>
        <v/>
      </c>
      <c r="T190" s="193" t="str">
        <f>IF(S190="","",$B190*'AEO 2018_Table 13'!T$26/'AEO 2018_Table 13'!$C$26)</f>
        <v/>
      </c>
      <c r="U190" s="193" t="str">
        <f>IF(T190="","",$B190*'AEO 2018_Table 13'!U$26/'AEO 2018_Table 13'!$C$26)</f>
        <v/>
      </c>
      <c r="V190" s="193" t="str">
        <f>IF(U190="","",$B190*'AEO 2018_Table 13'!V$26/'AEO 2018_Table 13'!$C$26)</f>
        <v/>
      </c>
      <c r="W190" s="193" t="str">
        <f>IF(V190="","",$B190*'AEO 2018_Table 13'!W$26/'AEO 2018_Table 13'!$C$26)</f>
        <v/>
      </c>
      <c r="X190" s="193" t="str">
        <f>IF(W190="","",$B190*'AEO 2018_Table 13'!X$26/'AEO 2018_Table 13'!$C$26)</f>
        <v/>
      </c>
      <c r="Y190" s="193" t="str">
        <f>IF(X190="","",$B190*'AEO 2018_Table 13'!Y$26/'AEO 2018_Table 13'!$C$26)</f>
        <v/>
      </c>
      <c r="Z190" s="193" t="str">
        <f>IF(Y190="","",$B190*'AEO 2018_Table 13'!Z$26/'AEO 2018_Table 13'!$C$26)</f>
        <v/>
      </c>
      <c r="AA190" s="193" t="str">
        <f>IF(Z190="","",$B190*'AEO 2018_Table 13'!AA$26/'AEO 2018_Table 13'!$C$26)</f>
        <v/>
      </c>
      <c r="AB190" s="193" t="str">
        <f>IF(AA190="","",$B190*'AEO 2018_Table 13'!AB$26/'AEO 2018_Table 13'!$C$26)</f>
        <v/>
      </c>
      <c r="AC190" s="193" t="str">
        <f>IF(AB190="","",$B190*'AEO 2018_Table 13'!AC$26/'AEO 2018_Table 13'!$C$26)</f>
        <v/>
      </c>
      <c r="AD190" s="193" t="str">
        <f>IF(AC190="","",$B190*'AEO 2018_Table 13'!AD$26/'AEO 2018_Table 13'!$C$26)</f>
        <v/>
      </c>
      <c r="AE190" s="193" t="str">
        <f>IF(AD190="","",$B190*'AEO 2018_Table 13'!AE$26/'AEO 2018_Table 13'!$C$26)</f>
        <v/>
      </c>
      <c r="AF190" s="193" t="str">
        <f>IF(AE190="","",$B190*'AEO 2018_Table 13'!AF$26/'AEO 2018_Table 13'!$C$26)</f>
        <v/>
      </c>
      <c r="AG190" s="193" t="str">
        <f>IF(AF190="","",$B190*'AEO 2018_Table 13'!AG$26/'AEO 2018_Table 13'!$C$26)</f>
        <v/>
      </c>
      <c r="AH190" s="193" t="str">
        <f>IF(AG190="","",$B190*'AEO 2018_Table 13'!AH$26/'AEO 2018_Table 13'!$C$26)</f>
        <v/>
      </c>
      <c r="AI190" s="193" t="str">
        <f>IF(AH190="","",$B190*'AEO 2018_Table 13'!AI$26/'AEO 2018_Table 13'!$C$26)</f>
        <v/>
      </c>
      <c r="AJ190" s="193" t="str">
        <f>IF(AI190="","",$B190*'AEO 2018_Table 13'!AJ$26/'AEO 2018_Table 13'!$C$26)</f>
        <v/>
      </c>
      <c r="AK190" s="193" t="str">
        <f>IF(AJ190="","",$B190*'AEO 2018_Table 13'!AK$26/'AEO 2018_Table 13'!$C$26)</f>
        <v/>
      </c>
    </row>
    <row r="191" spans="1:37" x14ac:dyDescent="0.25">
      <c r="A191" s="213" t="s">
        <v>1309</v>
      </c>
      <c r="B191" s="193">
        <v>1.2278018879999999</v>
      </c>
      <c r="C191" s="193">
        <f>IF(B191="","",$B191*'AEO 2018_Table 13'!C$26/'AEO 2018_Table 13'!$C$26)</f>
        <v>1.2278018879999999</v>
      </c>
      <c r="D191" s="193">
        <f>IF(C191="","",$B191*'AEO 2018_Table 13'!D$26/'AEO 2018_Table 13'!$C$26)</f>
        <v>1.2379681421699014</v>
      </c>
      <c r="E191" s="193">
        <f>IF(D191="","",$B191*'AEO 2018_Table 13'!E$26/'AEO 2018_Table 13'!$C$26)</f>
        <v>1.3395933837730092</v>
      </c>
      <c r="F191" s="193">
        <f>IF(E191="","",$B191*'AEO 2018_Table 13'!F$26/'AEO 2018_Table 13'!$C$26)</f>
        <v>1.3046016551654804</v>
      </c>
      <c r="G191" s="193">
        <f>IF(F191="","",$B191*'AEO 2018_Table 13'!G$26/'AEO 2018_Table 13'!$C$26)</f>
        <v>1.3009623526262426</v>
      </c>
      <c r="H191" s="193">
        <f>IF(G191="","",$B191*'AEO 2018_Table 13'!H$26/'AEO 2018_Table 13'!$C$26)</f>
        <v>1.2983626489721554</v>
      </c>
      <c r="I191" s="193">
        <f>IF(H191="","",$B191*'AEO 2018_Table 13'!I$26/'AEO 2018_Table 13'!$C$26)</f>
        <v>1.2978096467926936</v>
      </c>
      <c r="J191" s="193">
        <f>IF(I191="","",$B191*'AEO 2018_Table 13'!J$26/'AEO 2018_Table 13'!$C$26)</f>
        <v>1.2969689817523775</v>
      </c>
      <c r="K191" s="193">
        <f>IF(J191="","",$B191*'AEO 2018_Table 13'!K$26/'AEO 2018_Table 13'!$C$26)</f>
        <v>1.2948182921315887</v>
      </c>
      <c r="L191" s="193">
        <f>IF(K191="","",$B191*'AEO 2018_Table 13'!L$26/'AEO 2018_Table 13'!$C$26)</f>
        <v>1.2928346052129267</v>
      </c>
      <c r="M191" s="193">
        <f>IF(L191="","",$B191*'AEO 2018_Table 13'!M$26/'AEO 2018_Table 13'!$C$26)</f>
        <v>1.2923666585551907</v>
      </c>
      <c r="N191" s="193">
        <f>IF(M191="","",$B191*'AEO 2018_Table 13'!N$26/'AEO 2018_Table 13'!$C$26)</f>
        <v>1.2923491388131743</v>
      </c>
      <c r="O191" s="193">
        <f>IF(N191="","",$B191*'AEO 2018_Table 13'!O$26/'AEO 2018_Table 13'!$C$26)</f>
        <v>1.2925291400335712</v>
      </c>
      <c r="P191" s="193">
        <f>IF(O191="","",$B191*'AEO 2018_Table 13'!P$26/'AEO 2018_Table 13'!$C$26)</f>
        <v>1.2918263723175154</v>
      </c>
      <c r="Q191" s="193">
        <f>IF(P191="","",$B191*'AEO 2018_Table 13'!Q$26/'AEO 2018_Table 13'!$C$26)</f>
        <v>1.2914672176061734</v>
      </c>
      <c r="R191" s="193">
        <f>IF(Q191="","",$B191*'AEO 2018_Table 13'!R$26/'AEO 2018_Table 13'!$C$26)</f>
        <v>1.2910851741996163</v>
      </c>
      <c r="S191" s="193">
        <f>IF(R191="","",$B191*'AEO 2018_Table 13'!S$26/'AEO 2018_Table 13'!$C$26)</f>
        <v>1.2900291858783854</v>
      </c>
      <c r="T191" s="193">
        <f>IF(S191="","",$B191*'AEO 2018_Table 13'!T$26/'AEO 2018_Table 13'!$C$26)</f>
        <v>1.2886838392373954</v>
      </c>
      <c r="U191" s="193">
        <f>IF(T191="","",$B191*'AEO 2018_Table 13'!U$26/'AEO 2018_Table 13'!$C$26)</f>
        <v>1.2871274079627528</v>
      </c>
      <c r="V191" s="193">
        <f>IF(U191="","",$B191*'AEO 2018_Table 13'!V$26/'AEO 2018_Table 13'!$C$26)</f>
        <v>1.2858642910786475</v>
      </c>
      <c r="W191" s="193">
        <f>IF(V191="","",$B191*'AEO 2018_Table 13'!W$26/'AEO 2018_Table 13'!$C$26)</f>
        <v>1.2837212310229302</v>
      </c>
      <c r="X191" s="193">
        <f>IF(W191="","",$B191*'AEO 2018_Table 13'!X$26/'AEO 2018_Table 13'!$C$26)</f>
        <v>1.28148237753909</v>
      </c>
      <c r="Y191" s="193">
        <f>IF(X191="","",$B191*'AEO 2018_Table 13'!Y$26/'AEO 2018_Table 13'!$C$26)</f>
        <v>1.279285627951386</v>
      </c>
      <c r="Z191" s="193">
        <f>IF(Y191="","",$B191*'AEO 2018_Table 13'!Z$26/'AEO 2018_Table 13'!$C$26)</f>
        <v>1.2776469669198589</v>
      </c>
      <c r="AA191" s="193">
        <f>IF(Z191="","",$B191*'AEO 2018_Table 13'!AA$26/'AEO 2018_Table 13'!$C$26)</f>
        <v>1.276780587419486</v>
      </c>
      <c r="AB191" s="193">
        <f>IF(AA191="","",$B191*'AEO 2018_Table 13'!AB$26/'AEO 2018_Table 13'!$C$26)</f>
        <v>1.2763544620814029</v>
      </c>
      <c r="AC191" s="193">
        <f>IF(AB191="","",$B191*'AEO 2018_Table 13'!AC$26/'AEO 2018_Table 13'!$C$26)</f>
        <v>1.2759599853095438</v>
      </c>
      <c r="AD191" s="193">
        <f>IF(AC191="","",$B191*'AEO 2018_Table 13'!AD$26/'AEO 2018_Table 13'!$C$26)</f>
        <v>1.2762030010859038</v>
      </c>
      <c r="AE191" s="193">
        <f>IF(AD191="","",$B191*'AEO 2018_Table 13'!AE$26/'AEO 2018_Table 13'!$C$26)</f>
        <v>1.2771047026467943</v>
      </c>
      <c r="AF191" s="193">
        <f>IF(AE191="","",$B191*'AEO 2018_Table 13'!AF$26/'AEO 2018_Table 13'!$C$26)</f>
        <v>1.2779261524861893</v>
      </c>
      <c r="AG191" s="193">
        <f>IF(AF191="","",$B191*'AEO 2018_Table 13'!AG$26/'AEO 2018_Table 13'!$C$26)</f>
        <v>1.2788323752708259</v>
      </c>
      <c r="AH191" s="193">
        <f>IF(AG191="","",$B191*'AEO 2018_Table 13'!AH$26/'AEO 2018_Table 13'!$C$26)</f>
        <v>1.2797287078785178</v>
      </c>
      <c r="AI191" s="193">
        <f>IF(AH191="","",$B191*'AEO 2018_Table 13'!AI$26/'AEO 2018_Table 13'!$C$26)</f>
        <v>1.2806041298263831</v>
      </c>
      <c r="AJ191" s="193">
        <f>IF(AI191="","",$B191*'AEO 2018_Table 13'!AJ$26/'AEO 2018_Table 13'!$C$26)</f>
        <v>1.2812503822456109</v>
      </c>
      <c r="AK191" s="193">
        <f>IF(AJ191="","",$B191*'AEO 2018_Table 13'!AK$26/'AEO 2018_Table 13'!$C$26)</f>
        <v>1.2816742469718208</v>
      </c>
    </row>
    <row r="192" spans="1:37" x14ac:dyDescent="0.25">
      <c r="A192" s="206" t="s">
        <v>1310</v>
      </c>
      <c r="B192" s="195">
        <v>4.3039195289999999</v>
      </c>
      <c r="C192" s="193">
        <f>IF(B192="","",$B192*'AEO 2018_Table 13'!C$26/'AEO 2018_Table 13'!$C$26)</f>
        <v>4.3039195289999999</v>
      </c>
      <c r="D192" s="193">
        <f>IF(C192="","",$B192*'AEO 2018_Table 13'!D$26/'AEO 2018_Table 13'!$C$26)</f>
        <v>4.3395561738742714</v>
      </c>
      <c r="E192" s="193">
        <f>IF(D192="","",$B192*'AEO 2018_Table 13'!E$26/'AEO 2018_Table 13'!$C$26)</f>
        <v>4.6957918713836078</v>
      </c>
      <c r="F192" s="193">
        <f>IF(E192="","",$B192*'AEO 2018_Table 13'!F$26/'AEO 2018_Table 13'!$C$26)</f>
        <v>4.5731323563760764</v>
      </c>
      <c r="G192" s="193">
        <f>IF(F192="","",$B192*'AEO 2018_Table 13'!G$26/'AEO 2018_Table 13'!$C$26)</f>
        <v>4.5603751962644568</v>
      </c>
      <c r="H192" s="193">
        <f>IF(G192="","",$B192*'AEO 2018_Table 13'!H$26/'AEO 2018_Table 13'!$C$26)</f>
        <v>4.5512622315135518</v>
      </c>
      <c r="I192" s="193">
        <f>IF(H192="","",$B192*'AEO 2018_Table 13'!I$26/'AEO 2018_Table 13'!$C$26)</f>
        <v>4.5493237454246911</v>
      </c>
      <c r="J192" s="193">
        <f>IF(I192="","",$B192*'AEO 2018_Table 13'!J$26/'AEO 2018_Table 13'!$C$26)</f>
        <v>4.5463768899753498</v>
      </c>
      <c r="K192" s="193">
        <f>IF(J192="","",$B192*'AEO 2018_Table 13'!K$26/'AEO 2018_Table 13'!$C$26)</f>
        <v>4.5388378927232695</v>
      </c>
      <c r="L192" s="193">
        <f>IF(K192="","",$B192*'AEO 2018_Table 13'!L$26/'AEO 2018_Table 13'!$C$26)</f>
        <v>4.5318843044024701</v>
      </c>
      <c r="M192" s="193">
        <f>IF(L192="","",$B192*'AEO 2018_Table 13'!M$26/'AEO 2018_Table 13'!$C$26)</f>
        <v>4.530243970747307</v>
      </c>
      <c r="N192" s="193">
        <f>IF(M192="","",$B192*'AEO 2018_Table 13'!N$26/'AEO 2018_Table 13'!$C$26)</f>
        <v>4.530182557289204</v>
      </c>
      <c r="O192" s="193">
        <f>IF(N192="","",$B192*'AEO 2018_Table 13'!O$26/'AEO 2018_Table 13'!$C$26)</f>
        <v>4.530813531044239</v>
      </c>
      <c r="P192" s="193">
        <f>IF(O192="","",$B192*'AEO 2018_Table 13'!P$26/'AEO 2018_Table 13'!$C$26)</f>
        <v>4.5283500589425545</v>
      </c>
      <c r="Q192" s="193">
        <f>IF(P192="","",$B192*'AEO 2018_Table 13'!Q$26/'AEO 2018_Table 13'!$C$26)</f>
        <v>4.5270910830514239</v>
      </c>
      <c r="R192" s="193">
        <f>IF(Q192="","",$B192*'AEO 2018_Table 13'!R$26/'AEO 2018_Table 13'!$C$26)</f>
        <v>4.5257518734488995</v>
      </c>
      <c r="S192" s="193">
        <f>IF(R192="","",$B192*'AEO 2018_Table 13'!S$26/'AEO 2018_Table 13'!$C$26)</f>
        <v>4.522050226788668</v>
      </c>
      <c r="T192" s="193">
        <f>IF(S192="","",$B192*'AEO 2018_Table 13'!T$26/'AEO 2018_Table 13'!$C$26)</f>
        <v>4.5173342675300745</v>
      </c>
      <c r="U192" s="193">
        <f>IF(T192="","",$B192*'AEO 2018_Table 13'!U$26/'AEO 2018_Table 13'!$C$26)</f>
        <v>4.5118783751552938</v>
      </c>
      <c r="V192" s="193">
        <f>IF(U192="","",$B192*'AEO 2018_Table 13'!V$26/'AEO 2018_Table 13'!$C$26)</f>
        <v>4.5074506629339304</v>
      </c>
      <c r="W192" s="193">
        <f>IF(V192="","",$B192*'AEO 2018_Table 13'!W$26/'AEO 2018_Table 13'!$C$26)</f>
        <v>4.499938410252315</v>
      </c>
      <c r="X192" s="193">
        <f>IF(W192="","",$B192*'AEO 2018_Table 13'!X$26/'AEO 2018_Table 13'!$C$26)</f>
        <v>4.4920903646304211</v>
      </c>
      <c r="Y192" s="193">
        <f>IF(X192="","",$B192*'AEO 2018_Table 13'!Y$26/'AEO 2018_Table 13'!$C$26)</f>
        <v>4.4843899094159063</v>
      </c>
      <c r="Z192" s="193">
        <f>IF(Y192="","",$B192*'AEO 2018_Table 13'!Z$26/'AEO 2018_Table 13'!$C$26)</f>
        <v>4.4786457700038964</v>
      </c>
      <c r="AA192" s="193">
        <f>IF(Z192="","",$B192*'AEO 2018_Table 13'!AA$26/'AEO 2018_Table 13'!$C$26)</f>
        <v>4.4756087754466938</v>
      </c>
      <c r="AB192" s="193">
        <f>IF(AA192="","",$B192*'AEO 2018_Table 13'!AB$26/'AEO 2018_Table 13'!$C$26)</f>
        <v>4.4741150416592621</v>
      </c>
      <c r="AC192" s="193">
        <f>IF(AB192="","",$B192*'AEO 2018_Table 13'!AC$26/'AEO 2018_Table 13'!$C$26)</f>
        <v>4.4727322483122771</v>
      </c>
      <c r="AD192" s="193">
        <f>IF(AC192="","",$B192*'AEO 2018_Table 13'!AD$26/'AEO 2018_Table 13'!$C$26)</f>
        <v>4.4735841124085569</v>
      </c>
      <c r="AE192" s="193">
        <f>IF(AD192="","",$B192*'AEO 2018_Table 13'!AE$26/'AEO 2018_Table 13'!$C$26)</f>
        <v>4.4767449244216158</v>
      </c>
      <c r="AF192" s="193">
        <f>IF(AE192="","",$B192*'AEO 2018_Table 13'!AF$26/'AEO 2018_Table 13'!$C$26)</f>
        <v>4.4796244231749727</v>
      </c>
      <c r="AG192" s="193">
        <f>IF(AF192="","",$B192*'AEO 2018_Table 13'!AG$26/'AEO 2018_Table 13'!$C$26)</f>
        <v>4.4828010838223795</v>
      </c>
      <c r="AH192" s="193">
        <f>IF(AG192="","",$B192*'AEO 2018_Table 13'!AH$26/'AEO 2018_Table 13'!$C$26)</f>
        <v>4.4859430755821483</v>
      </c>
      <c r="AI192" s="193">
        <f>IF(AH192="","",$B192*'AEO 2018_Table 13'!AI$26/'AEO 2018_Table 13'!$C$26)</f>
        <v>4.4890117674080505</v>
      </c>
      <c r="AJ192" s="193">
        <f>IF(AI192="","",$B192*'AEO 2018_Table 13'!AJ$26/'AEO 2018_Table 13'!$C$26)</f>
        <v>4.4912771315803672</v>
      </c>
      <c r="AK192" s="193">
        <f>IF(AJ192="","",$B192*'AEO 2018_Table 13'!AK$26/'AEO 2018_Table 13'!$C$26)</f>
        <v>4.492762941050624</v>
      </c>
    </row>
    <row r="193" spans="1:37" x14ac:dyDescent="0.25">
      <c r="A193" s="207" t="s">
        <v>1224</v>
      </c>
      <c r="B193" s="191"/>
      <c r="C193" s="193" t="str">
        <f>IF(B193="","",$B193*'AEO 2018_Table 13'!C$26/'AEO 2018_Table 13'!$C$26)</f>
        <v/>
      </c>
      <c r="D193" s="193" t="str">
        <f>IF(C193="","",$B193*'AEO 2018_Table 13'!D$26/'AEO 2018_Table 13'!$C$26)</f>
        <v/>
      </c>
      <c r="E193" s="193" t="str">
        <f>IF(D193="","",$B193*'AEO 2018_Table 13'!E$26/'AEO 2018_Table 13'!$C$26)</f>
        <v/>
      </c>
      <c r="F193" s="193" t="str">
        <f>IF(E193="","",$B193*'AEO 2018_Table 13'!F$26/'AEO 2018_Table 13'!$C$26)</f>
        <v/>
      </c>
      <c r="G193" s="193" t="str">
        <f>IF(F193="","",$B193*'AEO 2018_Table 13'!G$26/'AEO 2018_Table 13'!$C$26)</f>
        <v/>
      </c>
      <c r="H193" s="193" t="str">
        <f>IF(G193="","",$B193*'AEO 2018_Table 13'!H$26/'AEO 2018_Table 13'!$C$26)</f>
        <v/>
      </c>
      <c r="I193" s="193" t="str">
        <f>IF(H193="","",$B193*'AEO 2018_Table 13'!I$26/'AEO 2018_Table 13'!$C$26)</f>
        <v/>
      </c>
      <c r="J193" s="193" t="str">
        <f>IF(I193="","",$B193*'AEO 2018_Table 13'!J$26/'AEO 2018_Table 13'!$C$26)</f>
        <v/>
      </c>
      <c r="K193" s="193" t="str">
        <f>IF(J193="","",$B193*'AEO 2018_Table 13'!K$26/'AEO 2018_Table 13'!$C$26)</f>
        <v/>
      </c>
      <c r="L193" s="193" t="str">
        <f>IF(K193="","",$B193*'AEO 2018_Table 13'!L$26/'AEO 2018_Table 13'!$C$26)</f>
        <v/>
      </c>
      <c r="M193" s="193" t="str">
        <f>IF(L193="","",$B193*'AEO 2018_Table 13'!M$26/'AEO 2018_Table 13'!$C$26)</f>
        <v/>
      </c>
      <c r="N193" s="193" t="str">
        <f>IF(M193="","",$B193*'AEO 2018_Table 13'!N$26/'AEO 2018_Table 13'!$C$26)</f>
        <v/>
      </c>
      <c r="O193" s="193" t="str">
        <f>IF(N193="","",$B193*'AEO 2018_Table 13'!O$26/'AEO 2018_Table 13'!$C$26)</f>
        <v/>
      </c>
      <c r="P193" s="193" t="str">
        <f>IF(O193="","",$B193*'AEO 2018_Table 13'!P$26/'AEO 2018_Table 13'!$C$26)</f>
        <v/>
      </c>
      <c r="Q193" s="193" t="str">
        <f>IF(P193="","",$B193*'AEO 2018_Table 13'!Q$26/'AEO 2018_Table 13'!$C$26)</f>
        <v/>
      </c>
      <c r="R193" s="193" t="str">
        <f>IF(Q193="","",$B193*'AEO 2018_Table 13'!R$26/'AEO 2018_Table 13'!$C$26)</f>
        <v/>
      </c>
      <c r="S193" s="193" t="str">
        <f>IF(R193="","",$B193*'AEO 2018_Table 13'!S$26/'AEO 2018_Table 13'!$C$26)</f>
        <v/>
      </c>
      <c r="T193" s="193" t="str">
        <f>IF(S193="","",$B193*'AEO 2018_Table 13'!T$26/'AEO 2018_Table 13'!$C$26)</f>
        <v/>
      </c>
      <c r="U193" s="193" t="str">
        <f>IF(T193="","",$B193*'AEO 2018_Table 13'!U$26/'AEO 2018_Table 13'!$C$26)</f>
        <v/>
      </c>
      <c r="V193" s="193" t="str">
        <f>IF(U193="","",$B193*'AEO 2018_Table 13'!V$26/'AEO 2018_Table 13'!$C$26)</f>
        <v/>
      </c>
      <c r="W193" s="193" t="str">
        <f>IF(V193="","",$B193*'AEO 2018_Table 13'!W$26/'AEO 2018_Table 13'!$C$26)</f>
        <v/>
      </c>
      <c r="X193" s="193" t="str">
        <f>IF(W193="","",$B193*'AEO 2018_Table 13'!X$26/'AEO 2018_Table 13'!$C$26)</f>
        <v/>
      </c>
      <c r="Y193" s="193" t="str">
        <f>IF(X193="","",$B193*'AEO 2018_Table 13'!Y$26/'AEO 2018_Table 13'!$C$26)</f>
        <v/>
      </c>
      <c r="Z193" s="193" t="str">
        <f>IF(Y193="","",$B193*'AEO 2018_Table 13'!Z$26/'AEO 2018_Table 13'!$C$26)</f>
        <v/>
      </c>
      <c r="AA193" s="193" t="str">
        <f>IF(Z193="","",$B193*'AEO 2018_Table 13'!AA$26/'AEO 2018_Table 13'!$C$26)</f>
        <v/>
      </c>
      <c r="AB193" s="193" t="str">
        <f>IF(AA193="","",$B193*'AEO 2018_Table 13'!AB$26/'AEO 2018_Table 13'!$C$26)</f>
        <v/>
      </c>
      <c r="AC193" s="193" t="str">
        <f>IF(AB193="","",$B193*'AEO 2018_Table 13'!AC$26/'AEO 2018_Table 13'!$C$26)</f>
        <v/>
      </c>
      <c r="AD193" s="193" t="str">
        <f>IF(AC193="","",$B193*'AEO 2018_Table 13'!AD$26/'AEO 2018_Table 13'!$C$26)</f>
        <v/>
      </c>
      <c r="AE193" s="193" t="str">
        <f>IF(AD193="","",$B193*'AEO 2018_Table 13'!AE$26/'AEO 2018_Table 13'!$C$26)</f>
        <v/>
      </c>
      <c r="AF193" s="193" t="str">
        <f>IF(AE193="","",$B193*'AEO 2018_Table 13'!AF$26/'AEO 2018_Table 13'!$C$26)</f>
        <v/>
      </c>
      <c r="AG193" s="193" t="str">
        <f>IF(AF193="","",$B193*'AEO 2018_Table 13'!AG$26/'AEO 2018_Table 13'!$C$26)</f>
        <v/>
      </c>
      <c r="AH193" s="193" t="str">
        <f>IF(AG193="","",$B193*'AEO 2018_Table 13'!AH$26/'AEO 2018_Table 13'!$C$26)</f>
        <v/>
      </c>
      <c r="AI193" s="193" t="str">
        <f>IF(AH193="","",$B193*'AEO 2018_Table 13'!AI$26/'AEO 2018_Table 13'!$C$26)</f>
        <v/>
      </c>
      <c r="AJ193" s="193" t="str">
        <f>IF(AI193="","",$B193*'AEO 2018_Table 13'!AJ$26/'AEO 2018_Table 13'!$C$26)</f>
        <v/>
      </c>
      <c r="AK193" s="193" t="str">
        <f>IF(AJ193="","",$B193*'AEO 2018_Table 13'!AK$26/'AEO 2018_Table 13'!$C$26)</f>
        <v/>
      </c>
    </row>
    <row r="194" spans="1:37" x14ac:dyDescent="0.25">
      <c r="A194" s="213" t="s">
        <v>1311</v>
      </c>
      <c r="B194" s="193">
        <v>67.090510305000009</v>
      </c>
      <c r="C194" s="193">
        <f>IF(B194="","",$B194*'AEO 2018_Table 13'!C$26/'AEO 2018_Table 13'!$C$26)</f>
        <v>67.090510305000009</v>
      </c>
      <c r="D194" s="193">
        <f>IF(C194="","",$B194*'AEO 2018_Table 13'!D$26/'AEO 2018_Table 13'!$C$26)</f>
        <v>67.646022710393069</v>
      </c>
      <c r="E194" s="193">
        <f>IF(D194="","",$B194*'AEO 2018_Table 13'!E$26/'AEO 2018_Table 13'!$C$26)</f>
        <v>73.199108583332716</v>
      </c>
      <c r="F194" s="193">
        <f>IF(E194="","",$B194*'AEO 2018_Table 13'!F$26/'AEO 2018_Table 13'!$C$26)</f>
        <v>71.287063202332959</v>
      </c>
      <c r="G194" s="193">
        <f>IF(F194="","",$B194*'AEO 2018_Table 13'!G$26/'AEO 2018_Table 13'!$C$26)</f>
        <v>71.088201588828312</v>
      </c>
      <c r="H194" s="193">
        <f>IF(G194="","",$B194*'AEO 2018_Table 13'!H$26/'AEO 2018_Table 13'!$C$26)</f>
        <v>70.946146550064213</v>
      </c>
      <c r="I194" s="193">
        <f>IF(H194="","",$B194*'AEO 2018_Table 13'!I$26/'AEO 2018_Table 13'!$C$26)</f>
        <v>70.915928972796664</v>
      </c>
      <c r="J194" s="193">
        <f>IF(I194="","",$B194*'AEO 2018_Table 13'!J$26/'AEO 2018_Table 13'!$C$26)</f>
        <v>70.869992696674572</v>
      </c>
      <c r="K194" s="193">
        <f>IF(J194="","",$B194*'AEO 2018_Table 13'!K$26/'AEO 2018_Table 13'!$C$26)</f>
        <v>70.752473033627453</v>
      </c>
      <c r="L194" s="193">
        <f>IF(K194="","",$B194*'AEO 2018_Table 13'!L$26/'AEO 2018_Table 13'!$C$26)</f>
        <v>70.644078862744408</v>
      </c>
      <c r="M194" s="193">
        <f>IF(L194="","",$B194*'AEO 2018_Table 13'!M$26/'AEO 2018_Table 13'!$C$26)</f>
        <v>70.61850895576687</v>
      </c>
      <c r="N194" s="193">
        <f>IF(M194="","",$B194*'AEO 2018_Table 13'!N$26/'AEO 2018_Table 13'!$C$26)</f>
        <v>70.617551628331725</v>
      </c>
      <c r="O194" s="193">
        <f>IF(N194="","",$B194*'AEO 2018_Table 13'!O$26/'AEO 2018_Table 13'!$C$26)</f>
        <v>70.627387395689624</v>
      </c>
      <c r="P194" s="193">
        <f>IF(O194="","",$B194*'AEO 2018_Table 13'!P$26/'AEO 2018_Table 13'!$C$26)</f>
        <v>70.588986212928063</v>
      </c>
      <c r="Q194" s="193">
        <f>IF(P194="","",$B194*'AEO 2018_Table 13'!Q$26/'AEO 2018_Table 13'!$C$26)</f>
        <v>70.569361000507499</v>
      </c>
      <c r="R194" s="193">
        <f>IF(Q194="","",$B194*'AEO 2018_Table 13'!R$26/'AEO 2018_Table 13'!$C$26)</f>
        <v>70.548485086115221</v>
      </c>
      <c r="S194" s="193">
        <f>IF(R194="","",$B194*'AEO 2018_Table 13'!S$26/'AEO 2018_Table 13'!$C$26)</f>
        <v>70.490782946999843</v>
      </c>
      <c r="T194" s="193">
        <f>IF(S194="","",$B194*'AEO 2018_Table 13'!T$26/'AEO 2018_Table 13'!$C$26)</f>
        <v>70.4172694644394</v>
      </c>
      <c r="U194" s="193">
        <f>IF(T194="","",$B194*'AEO 2018_Table 13'!U$26/'AEO 2018_Table 13'!$C$26)</f>
        <v>70.332221730361951</v>
      </c>
      <c r="V194" s="193">
        <f>IF(U194="","",$B194*'AEO 2018_Table 13'!V$26/'AEO 2018_Table 13'!$C$26)</f>
        <v>70.263201510440709</v>
      </c>
      <c r="W194" s="193">
        <f>IF(V194="","",$B194*'AEO 2018_Table 13'!W$26/'AEO 2018_Table 13'!$C$26)</f>
        <v>70.146098748050804</v>
      </c>
      <c r="X194" s="193">
        <f>IF(W194="","",$B194*'AEO 2018_Table 13'!X$26/'AEO 2018_Table 13'!$C$26)</f>
        <v>70.023761566297765</v>
      </c>
      <c r="Y194" s="193">
        <f>IF(X194="","",$B194*'AEO 2018_Table 13'!Y$26/'AEO 2018_Table 13'!$C$26)</f>
        <v>69.903725058542094</v>
      </c>
      <c r="Z194" s="193">
        <f>IF(Y194="","",$B194*'AEO 2018_Table 13'!Z$26/'AEO 2018_Table 13'!$C$26)</f>
        <v>69.814184061825458</v>
      </c>
      <c r="AA194" s="193">
        <f>IF(Z194="","",$B194*'AEO 2018_Table 13'!AA$26/'AEO 2018_Table 13'!$C$26)</f>
        <v>69.766842676080813</v>
      </c>
      <c r="AB194" s="193">
        <f>IF(AA194="","",$B194*'AEO 2018_Table 13'!AB$26/'AEO 2018_Table 13'!$C$26)</f>
        <v>69.743558002335561</v>
      </c>
      <c r="AC194" s="193">
        <f>IF(AB194="","",$B194*'AEO 2018_Table 13'!AC$26/'AEO 2018_Table 13'!$C$26)</f>
        <v>69.722002694279638</v>
      </c>
      <c r="AD194" s="193">
        <f>IF(AC194="","",$B194*'AEO 2018_Table 13'!AD$26/'AEO 2018_Table 13'!$C$26)</f>
        <v>69.735281752251041</v>
      </c>
      <c r="AE194" s="193">
        <f>IF(AD194="","",$B194*'AEO 2018_Table 13'!AE$26/'AEO 2018_Table 13'!$C$26)</f>
        <v>69.784553233631073</v>
      </c>
      <c r="AF194" s="193">
        <f>IF(AE194="","",$B194*'AEO 2018_Table 13'!AF$26/'AEO 2018_Table 13'!$C$26)</f>
        <v>69.829439537727524</v>
      </c>
      <c r="AG194" s="193">
        <f>IF(AF194="","",$B194*'AEO 2018_Table 13'!AG$26/'AEO 2018_Table 13'!$C$26)</f>
        <v>69.878958071348876</v>
      </c>
      <c r="AH194" s="193">
        <f>IF(AG194="","",$B194*'AEO 2018_Table 13'!AH$26/'AEO 2018_Table 13'!$C$26)</f>
        <v>69.927936178192326</v>
      </c>
      <c r="AI194" s="193">
        <f>IF(AH194="","",$B194*'AEO 2018_Table 13'!AI$26/'AEO 2018_Table 13'!$C$26)</f>
        <v>69.975771668419625</v>
      </c>
      <c r="AJ194" s="193">
        <f>IF(AI194="","",$B194*'AEO 2018_Table 13'!AJ$26/'AEO 2018_Table 13'!$C$26)</f>
        <v>70.011084698164566</v>
      </c>
      <c r="AK194" s="193">
        <f>IF(AJ194="","",$B194*'AEO 2018_Table 13'!AK$26/'AEO 2018_Table 13'!$C$26)</f>
        <v>70.034245845789158</v>
      </c>
    </row>
    <row r="197" spans="1:37" x14ac:dyDescent="0.25">
      <c r="A197" s="55" t="s">
        <v>1411</v>
      </c>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row>
    <row r="198" spans="1:37" x14ac:dyDescent="0.25">
      <c r="B198">
        <v>2015</v>
      </c>
      <c r="C198">
        <v>2016</v>
      </c>
      <c r="D198">
        <v>2017</v>
      </c>
      <c r="E198">
        <v>2018</v>
      </c>
      <c r="F198">
        <v>2019</v>
      </c>
      <c r="G198">
        <v>2020</v>
      </c>
      <c r="H198">
        <v>2021</v>
      </c>
      <c r="I198">
        <v>2022</v>
      </c>
      <c r="J198">
        <v>2023</v>
      </c>
      <c r="K198">
        <v>2024</v>
      </c>
      <c r="L198">
        <v>2025</v>
      </c>
      <c r="M198">
        <v>2026</v>
      </c>
      <c r="N198">
        <v>2027</v>
      </c>
      <c r="O198">
        <v>2028</v>
      </c>
      <c r="P198">
        <v>2029</v>
      </c>
      <c r="Q198">
        <v>2030</v>
      </c>
      <c r="R198">
        <v>2031</v>
      </c>
      <c r="S198">
        <v>2032</v>
      </c>
      <c r="T198">
        <v>2033</v>
      </c>
      <c r="U198">
        <v>2034</v>
      </c>
      <c r="V198">
        <v>2035</v>
      </c>
      <c r="W198">
        <v>2036</v>
      </c>
      <c r="X198">
        <v>2037</v>
      </c>
      <c r="Y198">
        <v>2038</v>
      </c>
      <c r="Z198">
        <v>2039</v>
      </c>
      <c r="AA198">
        <v>2040</v>
      </c>
      <c r="AB198">
        <v>2041</v>
      </c>
      <c r="AC198">
        <v>2042</v>
      </c>
      <c r="AD198">
        <v>2043</v>
      </c>
      <c r="AE198">
        <v>2044</v>
      </c>
      <c r="AF198">
        <v>2045</v>
      </c>
      <c r="AG198">
        <v>2046</v>
      </c>
      <c r="AH198">
        <v>2047</v>
      </c>
      <c r="AI198">
        <v>2048</v>
      </c>
      <c r="AJ198">
        <v>2049</v>
      </c>
      <c r="AK198">
        <v>2050</v>
      </c>
    </row>
    <row r="199" spans="1:37" x14ac:dyDescent="0.25">
      <c r="A199" t="s">
        <v>462</v>
      </c>
      <c r="B199" s="325">
        <f>SUM(B164,B101,B74,B12)</f>
        <v>6497.0132207556235</v>
      </c>
      <c r="C199" s="325">
        <f t="shared" ref="C199:AK199" si="21">SUM(C164,C101,C74,C12)</f>
        <v>6492.4773181662849</v>
      </c>
      <c r="D199" s="325">
        <f t="shared" si="21"/>
        <v>6375.0263552999604</v>
      </c>
      <c r="E199" s="325">
        <f t="shared" si="21"/>
        <v>6633.2582316333555</v>
      </c>
      <c r="F199" s="325">
        <f t="shared" si="21"/>
        <v>7017.1779836273199</v>
      </c>
      <c r="G199" s="325">
        <f t="shared" si="21"/>
        <v>7335.2652173255865</v>
      </c>
      <c r="H199" s="325">
        <f t="shared" si="21"/>
        <v>7482.3265628366171</v>
      </c>
      <c r="I199" s="325">
        <f t="shared" si="21"/>
        <v>7595.3033110853075</v>
      </c>
      <c r="J199" s="325">
        <f t="shared" si="21"/>
        <v>7734.2308761931818</v>
      </c>
      <c r="K199" s="325">
        <f t="shared" si="21"/>
        <v>7854.1683871570604</v>
      </c>
      <c r="L199" s="325">
        <f t="shared" si="21"/>
        <v>7959.9162820258325</v>
      </c>
      <c r="M199" s="325">
        <f t="shared" si="21"/>
        <v>8040.8513618083034</v>
      </c>
      <c r="N199" s="325">
        <f t="shared" si="21"/>
        <v>8133.7164348943134</v>
      </c>
      <c r="O199" s="325">
        <f t="shared" si="21"/>
        <v>8231.3729048246314</v>
      </c>
      <c r="P199" s="325">
        <f t="shared" si="21"/>
        <v>8301.8681049087663</v>
      </c>
      <c r="Q199" s="325">
        <f t="shared" si="21"/>
        <v>8334.7849964241504</v>
      </c>
      <c r="R199" s="325">
        <f t="shared" si="21"/>
        <v>8361.0495766237564</v>
      </c>
      <c r="S199" s="325">
        <f t="shared" si="21"/>
        <v>8384.3567264876947</v>
      </c>
      <c r="T199" s="325">
        <f t="shared" si="21"/>
        <v>8400.4829724517622</v>
      </c>
      <c r="U199" s="325">
        <f t="shared" si="21"/>
        <v>8437.8933424819825</v>
      </c>
      <c r="V199" s="325">
        <f t="shared" si="21"/>
        <v>8479.2797463125808</v>
      </c>
      <c r="W199" s="325">
        <f t="shared" si="21"/>
        <v>8526.1701368275262</v>
      </c>
      <c r="X199" s="325">
        <f t="shared" si="21"/>
        <v>8585.06540693036</v>
      </c>
      <c r="Y199" s="325">
        <f t="shared" si="21"/>
        <v>8633.1539045026366</v>
      </c>
      <c r="Z199" s="325">
        <f t="shared" si="21"/>
        <v>8674.9304337476606</v>
      </c>
      <c r="AA199" s="325">
        <f t="shared" si="21"/>
        <v>8726.1673756241453</v>
      </c>
      <c r="AB199" s="325">
        <f t="shared" si="21"/>
        <v>8778.5426647153654</v>
      </c>
      <c r="AC199" s="325">
        <f t="shared" si="21"/>
        <v>8836.6387904165786</v>
      </c>
      <c r="AD199" s="325">
        <f t="shared" si="21"/>
        <v>8896.3189252639713</v>
      </c>
      <c r="AE199" s="325">
        <f t="shared" si="21"/>
        <v>8947.2817272068678</v>
      </c>
      <c r="AF199" s="325">
        <f t="shared" si="21"/>
        <v>8995.6499952774684</v>
      </c>
      <c r="AG199" s="325">
        <f t="shared" si="21"/>
        <v>9047.2497937452918</v>
      </c>
      <c r="AH199" s="325">
        <f t="shared" si="21"/>
        <v>9104.1950628927952</v>
      </c>
      <c r="AI199" s="325">
        <f t="shared" si="21"/>
        <v>9167.7547063547172</v>
      </c>
      <c r="AJ199" s="325">
        <f t="shared" si="21"/>
        <v>9219.0461438264138</v>
      </c>
      <c r="AK199" s="325">
        <f t="shared" si="21"/>
        <v>9211.1028266936792</v>
      </c>
    </row>
    <row r="200" spans="1:37" x14ac:dyDescent="0.25">
      <c r="A200" t="s">
        <v>463</v>
      </c>
      <c r="B200" s="65">
        <f>SUM('EPA (2017) Table A3.6-10'!AA8,'EPA (2017) Table A3.6-10'!AA59,'EPA (2017) Table A3.6-10'!AA139,)/1000</f>
        <v>42.311991268518163</v>
      </c>
      <c r="C200" s="65">
        <f>B200*C199/B199</f>
        <v>42.282451068393307</v>
      </c>
      <c r="D200" s="65">
        <f>C200*'AEO 2018_Table 13'!D16/'AEO 2018_Table 13'!C16</f>
        <v>42.532169098670337</v>
      </c>
      <c r="E200" s="65">
        <f>D200*'AEO 2018_Table 13'!E16/'AEO 2018_Table 13'!D16</f>
        <v>45.450103501919493</v>
      </c>
      <c r="F200" s="65">
        <f>E200*'AEO 2018_Table 13'!F16/'AEO 2018_Table 13'!E16</f>
        <v>48.953890555054372</v>
      </c>
      <c r="G200" s="65">
        <f>F200*'AEO 2018_Table 13'!G16/'AEO 2018_Table 13'!F16</f>
        <v>51.263129411868036</v>
      </c>
      <c r="H200" s="65">
        <f>G200*'AEO 2018_Table 13'!H16/'AEO 2018_Table 13'!G16</f>
        <v>51.935260532705833</v>
      </c>
      <c r="I200" s="65">
        <f>H200*'AEO 2018_Table 13'!I16/'AEO 2018_Table 13'!H16</f>
        <v>53.119446711504608</v>
      </c>
      <c r="J200" s="65">
        <f>I200*'AEO 2018_Table 13'!J16/'AEO 2018_Table 13'!I16</f>
        <v>54.316452787171492</v>
      </c>
      <c r="K200" s="65">
        <f>J200*'AEO 2018_Table 13'!K16/'AEO 2018_Table 13'!J16</f>
        <v>55.213734131518891</v>
      </c>
      <c r="L200" s="65">
        <f>K200*'AEO 2018_Table 13'!L16/'AEO 2018_Table 13'!K16</f>
        <v>56.165633447354189</v>
      </c>
      <c r="M200" s="65">
        <f>L200*'AEO 2018_Table 13'!M16/'AEO 2018_Table 13'!L16</f>
        <v>56.872501340655859</v>
      </c>
      <c r="N200" s="65">
        <f>M200*'AEO 2018_Table 13'!N16/'AEO 2018_Table 13'!M16</f>
        <v>57.786907794543893</v>
      </c>
      <c r="O200" s="65">
        <f>N200*'AEO 2018_Table 13'!O16/'AEO 2018_Table 13'!N16</f>
        <v>58.620695491988471</v>
      </c>
      <c r="P200" s="65">
        <f>O200*'AEO 2018_Table 13'!P16/'AEO 2018_Table 13'!O16</f>
        <v>59.113100071400382</v>
      </c>
      <c r="Q200" s="65">
        <f>P200*'AEO 2018_Table 13'!Q16/'AEO 2018_Table 13'!P16</f>
        <v>59.374156365019147</v>
      </c>
      <c r="R200" s="65">
        <f>Q200*'AEO 2018_Table 13'!R16/'AEO 2018_Table 13'!Q16</f>
        <v>59.6493023028819</v>
      </c>
      <c r="S200" s="65">
        <f>R200*'AEO 2018_Table 13'!S16/'AEO 2018_Table 13'!R16</f>
        <v>59.825668486913727</v>
      </c>
      <c r="T200" s="65">
        <f>S200*'AEO 2018_Table 13'!T16/'AEO 2018_Table 13'!S16</f>
        <v>60.033571177773524</v>
      </c>
      <c r="U200" s="65">
        <f>T200*'AEO 2018_Table 13'!U16/'AEO 2018_Table 13'!T16</f>
        <v>60.499728556484499</v>
      </c>
      <c r="V200" s="65">
        <f>U200*'AEO 2018_Table 13'!V16/'AEO 2018_Table 13'!U16</f>
        <v>60.772998909533683</v>
      </c>
      <c r="W200" s="65">
        <f>V200*'AEO 2018_Table 13'!W16/'AEO 2018_Table 13'!V16</f>
        <v>61.238934984931923</v>
      </c>
      <c r="X200" s="65">
        <f>W200*'AEO 2018_Table 13'!X16/'AEO 2018_Table 13'!W16</f>
        <v>61.801252576842963</v>
      </c>
      <c r="Y200" s="65">
        <f>X200*'AEO 2018_Table 13'!Y16/'AEO 2018_Table 13'!X16</f>
        <v>62.106544420575659</v>
      </c>
      <c r="Z200" s="65">
        <f>Y200*'AEO 2018_Table 13'!Z16/'AEO 2018_Table 13'!Y16</f>
        <v>62.499596368786818</v>
      </c>
      <c r="AA200" s="65">
        <f>Z200*'AEO 2018_Table 13'!AA16/'AEO 2018_Table 13'!Z16</f>
        <v>63.02391885009758</v>
      </c>
      <c r="AB200" s="65">
        <f>AA200*'AEO 2018_Table 13'!AB16/'AEO 2018_Table 13'!AA16</f>
        <v>63.415098352549229</v>
      </c>
      <c r="AC200" s="65">
        <f>AB200*'AEO 2018_Table 13'!AC16/'AEO 2018_Table 13'!AB16</f>
        <v>63.908502720686052</v>
      </c>
      <c r="AD200" s="65">
        <f>AC200*'AEO 2018_Table 13'!AD16/'AEO 2018_Table 13'!AC16</f>
        <v>64.337346163532388</v>
      </c>
      <c r="AE200" s="65">
        <f>AD200*'AEO 2018_Table 13'!AE16/'AEO 2018_Table 13'!AD16</f>
        <v>64.751762513821006</v>
      </c>
      <c r="AF200" s="65">
        <f>AE200*'AEO 2018_Table 13'!AF16/'AEO 2018_Table 13'!AE16</f>
        <v>65.077224349553219</v>
      </c>
      <c r="AG200" s="65">
        <f>AF200*'AEO 2018_Table 13'!AG16/'AEO 2018_Table 13'!AF16</f>
        <v>65.543662673604473</v>
      </c>
      <c r="AH200" s="65">
        <f>AG200*'AEO 2018_Table 13'!AH16/'AEO 2018_Table 13'!AG16</f>
        <v>66.038192392629441</v>
      </c>
      <c r="AI200" s="65">
        <f>AH200*'AEO 2018_Table 13'!AI16/'AEO 2018_Table 13'!AH16</f>
        <v>66.547175886171857</v>
      </c>
      <c r="AJ200" s="65">
        <f>AI200*'AEO 2018_Table 13'!AJ16/'AEO 2018_Table 13'!AI16</f>
        <v>66.86162748971384</v>
      </c>
      <c r="AK200" s="65">
        <f>AJ200*'AEO 2018_Table 13'!AK16/'AEO 2018_Table 13'!AJ16</f>
        <v>67.45668541569303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K26"/>
  <sheetViews>
    <sheetView workbookViewId="0">
      <selection activeCell="D25" sqref="D25"/>
    </sheetView>
  </sheetViews>
  <sheetFormatPr defaultRowHeight="15" x14ac:dyDescent="0.25"/>
  <cols>
    <col min="1" max="1" width="17.28515625" customWidth="1"/>
    <col min="2" max="2" width="12" bestFit="1" customWidth="1"/>
    <col min="4" max="4" width="14.5703125" bestFit="1" customWidth="1"/>
  </cols>
  <sheetData>
    <row r="1" spans="1:37" x14ac:dyDescent="0.25">
      <c r="A1" s="55" t="s">
        <v>557</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25">
      <c r="A2" t="s">
        <v>240</v>
      </c>
      <c r="B2" t="s">
        <v>312</v>
      </c>
      <c r="C2" t="s">
        <v>558</v>
      </c>
      <c r="D2" t="s">
        <v>556</v>
      </c>
    </row>
    <row r="3" spans="1:37" x14ac:dyDescent="0.25">
      <c r="A3">
        <v>2012</v>
      </c>
      <c r="B3">
        <v>96</v>
      </c>
      <c r="C3">
        <f>B3-D3</f>
        <v>73.2</v>
      </c>
      <c r="D3">
        <v>22.8</v>
      </c>
      <c r="E3" s="3"/>
    </row>
    <row r="14" spans="1:37" x14ac:dyDescent="0.25">
      <c r="A14" s="55" t="s">
        <v>561</v>
      </c>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row>
    <row r="15" spans="1:37" x14ac:dyDescent="0.25">
      <c r="B15">
        <v>2015</v>
      </c>
      <c r="C15">
        <v>2016</v>
      </c>
      <c r="D15">
        <v>2017</v>
      </c>
      <c r="E15">
        <v>2018</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row>
    <row r="16" spans="1:37" x14ac:dyDescent="0.25">
      <c r="A16" t="s">
        <v>558</v>
      </c>
      <c r="B16">
        <f>$C$3*1.05^(B15-$A$3)</f>
        <v>84.738150000000019</v>
      </c>
      <c r="C16">
        <f t="shared" ref="C16:AK16" si="0">$C$3*1.05^(C15-$A$3)</f>
        <v>88.975057500000005</v>
      </c>
      <c r="D16">
        <f t="shared" si="0"/>
        <v>93.423810375000016</v>
      </c>
      <c r="E16">
        <f t="shared" si="0"/>
        <v>98.095000893749997</v>
      </c>
      <c r="F16">
        <f t="shared" si="0"/>
        <v>102.99975093843751</v>
      </c>
      <c r="G16">
        <f t="shared" si="0"/>
        <v>108.14973848535938</v>
      </c>
      <c r="H16">
        <f t="shared" si="0"/>
        <v>113.55722540962736</v>
      </c>
      <c r="I16">
        <f t="shared" si="0"/>
        <v>119.23508668010872</v>
      </c>
      <c r="J16">
        <f t="shared" si="0"/>
        <v>125.19684101411417</v>
      </c>
      <c r="K16">
        <f t="shared" si="0"/>
        <v>131.45668306481986</v>
      </c>
      <c r="L16">
        <f t="shared" si="0"/>
        <v>138.02951721806087</v>
      </c>
      <c r="M16">
        <f t="shared" si="0"/>
        <v>144.93099307896389</v>
      </c>
      <c r="N16">
        <f t="shared" si="0"/>
        <v>152.17754273291214</v>
      </c>
      <c r="O16">
        <f t="shared" si="0"/>
        <v>159.78641986955773</v>
      </c>
      <c r="P16">
        <f t="shared" si="0"/>
        <v>167.77574086303562</v>
      </c>
      <c r="Q16">
        <f t="shared" si="0"/>
        <v>176.1645279061874</v>
      </c>
      <c r="R16">
        <f t="shared" si="0"/>
        <v>184.97275430149679</v>
      </c>
      <c r="S16">
        <f t="shared" si="0"/>
        <v>194.22139201657163</v>
      </c>
      <c r="T16">
        <f t="shared" si="0"/>
        <v>203.93246161740018</v>
      </c>
      <c r="U16">
        <f t="shared" si="0"/>
        <v>214.12908469827019</v>
      </c>
      <c r="V16">
        <f t="shared" si="0"/>
        <v>224.83553893318376</v>
      </c>
      <c r="W16">
        <f t="shared" si="0"/>
        <v>236.0773158798429</v>
      </c>
      <c r="X16">
        <f t="shared" si="0"/>
        <v>247.88118167383504</v>
      </c>
      <c r="Y16">
        <f t="shared" si="0"/>
        <v>260.27524075752683</v>
      </c>
      <c r="Z16">
        <f t="shared" si="0"/>
        <v>273.28900279540318</v>
      </c>
      <c r="AA16">
        <f t="shared" si="0"/>
        <v>286.95345293517329</v>
      </c>
      <c r="AB16">
        <f t="shared" si="0"/>
        <v>301.30112558193201</v>
      </c>
      <c r="AC16">
        <f t="shared" si="0"/>
        <v>316.36618186102851</v>
      </c>
      <c r="AD16">
        <f t="shared" si="0"/>
        <v>332.18449095408005</v>
      </c>
      <c r="AE16">
        <f t="shared" si="0"/>
        <v>348.79371550178405</v>
      </c>
      <c r="AF16">
        <f t="shared" si="0"/>
        <v>366.23340127687322</v>
      </c>
      <c r="AG16">
        <f t="shared" si="0"/>
        <v>384.5450713407169</v>
      </c>
      <c r="AH16">
        <f t="shared" si="0"/>
        <v>403.77232490775282</v>
      </c>
      <c r="AI16">
        <f t="shared" si="0"/>
        <v>423.96094115314037</v>
      </c>
      <c r="AJ16">
        <f t="shared" si="0"/>
        <v>445.15898821079747</v>
      </c>
      <c r="AK16">
        <f t="shared" si="0"/>
        <v>467.41693762133724</v>
      </c>
    </row>
    <row r="17" spans="1:37" x14ac:dyDescent="0.25">
      <c r="A17" t="s">
        <v>556</v>
      </c>
      <c r="B17">
        <v>27.7</v>
      </c>
      <c r="C17">
        <v>27.7</v>
      </c>
      <c r="D17">
        <v>27.7</v>
      </c>
      <c r="E17">
        <v>27.7</v>
      </c>
      <c r="F17">
        <v>27.7</v>
      </c>
      <c r="G17">
        <v>27.7</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t="s">
        <v>312</v>
      </c>
      <c r="B18">
        <f>SUM(B16:B17)</f>
        <v>112.43815000000002</v>
      </c>
      <c r="C18">
        <f t="shared" ref="C18:AK18" si="1">SUM(C16:C17)</f>
        <v>116.67505750000001</v>
      </c>
      <c r="D18">
        <f t="shared" si="1"/>
        <v>121.12381037500002</v>
      </c>
      <c r="E18">
        <f t="shared" si="1"/>
        <v>125.79500089375</v>
      </c>
      <c r="F18">
        <f t="shared" si="1"/>
        <v>130.69975093843752</v>
      </c>
      <c r="G18">
        <f t="shared" si="1"/>
        <v>135.84973848535938</v>
      </c>
      <c r="H18">
        <f t="shared" si="1"/>
        <v>113.55722540962736</v>
      </c>
      <c r="I18">
        <f t="shared" si="1"/>
        <v>119.23508668010872</v>
      </c>
      <c r="J18">
        <f t="shared" si="1"/>
        <v>125.19684101411417</v>
      </c>
      <c r="K18">
        <f t="shared" si="1"/>
        <v>131.45668306481986</v>
      </c>
      <c r="L18">
        <f t="shared" si="1"/>
        <v>138.02951721806087</v>
      </c>
      <c r="M18">
        <f t="shared" si="1"/>
        <v>144.93099307896389</v>
      </c>
      <c r="N18">
        <f t="shared" si="1"/>
        <v>152.17754273291214</v>
      </c>
      <c r="O18">
        <f t="shared" si="1"/>
        <v>159.78641986955773</v>
      </c>
      <c r="P18">
        <f t="shared" si="1"/>
        <v>167.77574086303562</v>
      </c>
      <c r="Q18">
        <f t="shared" si="1"/>
        <v>176.1645279061874</v>
      </c>
      <c r="R18">
        <f t="shared" si="1"/>
        <v>184.97275430149679</v>
      </c>
      <c r="S18">
        <f t="shared" si="1"/>
        <v>194.22139201657163</v>
      </c>
      <c r="T18">
        <f t="shared" si="1"/>
        <v>203.93246161740018</v>
      </c>
      <c r="U18">
        <f t="shared" si="1"/>
        <v>214.12908469827019</v>
      </c>
      <c r="V18">
        <f t="shared" si="1"/>
        <v>224.83553893318376</v>
      </c>
      <c r="W18">
        <f t="shared" si="1"/>
        <v>236.0773158798429</v>
      </c>
      <c r="X18">
        <f t="shared" si="1"/>
        <v>247.88118167383504</v>
      </c>
      <c r="Y18">
        <f t="shared" si="1"/>
        <v>260.27524075752683</v>
      </c>
      <c r="Z18">
        <f t="shared" si="1"/>
        <v>273.28900279540318</v>
      </c>
      <c r="AA18">
        <f t="shared" si="1"/>
        <v>286.95345293517329</v>
      </c>
      <c r="AB18">
        <f t="shared" si="1"/>
        <v>301.30112558193201</v>
      </c>
      <c r="AC18">
        <f t="shared" si="1"/>
        <v>316.36618186102851</v>
      </c>
      <c r="AD18">
        <f t="shared" si="1"/>
        <v>332.18449095408005</v>
      </c>
      <c r="AE18">
        <f t="shared" si="1"/>
        <v>348.79371550178405</v>
      </c>
      <c r="AF18">
        <f t="shared" si="1"/>
        <v>366.23340127687322</v>
      </c>
      <c r="AG18">
        <f t="shared" si="1"/>
        <v>384.5450713407169</v>
      </c>
      <c r="AH18">
        <f t="shared" si="1"/>
        <v>403.77232490775282</v>
      </c>
      <c r="AI18">
        <f t="shared" si="1"/>
        <v>423.96094115314037</v>
      </c>
      <c r="AJ18">
        <f t="shared" si="1"/>
        <v>445.15898821079747</v>
      </c>
      <c r="AK18">
        <f t="shared" si="1"/>
        <v>467.41693762133724</v>
      </c>
    </row>
    <row r="20" spans="1:37" x14ac:dyDescent="0.25">
      <c r="A20" s="55" t="s">
        <v>559</v>
      </c>
      <c r="B20" s="55"/>
      <c r="C20" s="55"/>
    </row>
    <row r="21" spans="1:37" x14ac:dyDescent="0.25">
      <c r="A21">
        <v>5.3E-3</v>
      </c>
      <c r="B21" t="s">
        <v>560</v>
      </c>
    </row>
    <row r="22" spans="1:37" ht="14.25" customHeight="1" x14ac:dyDescent="0.25"/>
    <row r="23" spans="1:37" x14ac:dyDescent="0.25">
      <c r="A23" s="55" t="s">
        <v>562</v>
      </c>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row>
    <row r="24" spans="1:37" x14ac:dyDescent="0.25">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x14ac:dyDescent="0.25">
      <c r="A25" t="s">
        <v>563</v>
      </c>
      <c r="B25">
        <f>$A$21*B18</f>
        <v>0.5959221950000001</v>
      </c>
      <c r="C25">
        <f t="shared" ref="C25:AK25" si="2">$A$21*C18</f>
        <v>0.61837780475000004</v>
      </c>
      <c r="D25">
        <f t="shared" si="2"/>
        <v>0.64195619498750012</v>
      </c>
      <c r="E25">
        <f t="shared" si="2"/>
        <v>0.66671350473687496</v>
      </c>
      <c r="F25">
        <f t="shared" si="2"/>
        <v>0.69270867997371888</v>
      </c>
      <c r="G25">
        <f t="shared" si="2"/>
        <v>0.72000361397240475</v>
      </c>
      <c r="H25">
        <f t="shared" si="2"/>
        <v>0.601853294671025</v>
      </c>
      <c r="I25">
        <f t="shared" si="2"/>
        <v>0.63194595940457621</v>
      </c>
      <c r="J25">
        <f t="shared" si="2"/>
        <v>0.66354325737480513</v>
      </c>
      <c r="K25">
        <f t="shared" si="2"/>
        <v>0.69672042024354519</v>
      </c>
      <c r="L25">
        <f t="shared" si="2"/>
        <v>0.73155644125572261</v>
      </c>
      <c r="M25">
        <f t="shared" si="2"/>
        <v>0.76813426331850865</v>
      </c>
      <c r="N25">
        <f t="shared" si="2"/>
        <v>0.80654097648443435</v>
      </c>
      <c r="O25">
        <f t="shared" si="2"/>
        <v>0.84686802530865601</v>
      </c>
      <c r="P25">
        <f t="shared" si="2"/>
        <v>0.8892114265740888</v>
      </c>
      <c r="Q25">
        <f t="shared" si="2"/>
        <v>0.9336719979027932</v>
      </c>
      <c r="R25">
        <f t="shared" si="2"/>
        <v>0.98035559779793302</v>
      </c>
      <c r="S25">
        <f t="shared" si="2"/>
        <v>1.0293733776878295</v>
      </c>
      <c r="T25">
        <f t="shared" si="2"/>
        <v>1.080842046572221</v>
      </c>
      <c r="U25">
        <f t="shared" si="2"/>
        <v>1.1348841489008321</v>
      </c>
      <c r="V25">
        <f t="shared" si="2"/>
        <v>1.1916283563458738</v>
      </c>
      <c r="W25">
        <f t="shared" si="2"/>
        <v>1.2512097741631674</v>
      </c>
      <c r="X25">
        <f t="shared" si="2"/>
        <v>1.3137702628713257</v>
      </c>
      <c r="Y25">
        <f t="shared" si="2"/>
        <v>1.3794587760148922</v>
      </c>
      <c r="Z25">
        <f t="shared" si="2"/>
        <v>1.4484317148156369</v>
      </c>
      <c r="AA25">
        <f t="shared" si="2"/>
        <v>1.5208533005564184</v>
      </c>
      <c r="AB25">
        <f t="shared" si="2"/>
        <v>1.5968959655842396</v>
      </c>
      <c r="AC25">
        <f t="shared" si="2"/>
        <v>1.6767407638634511</v>
      </c>
      <c r="AD25">
        <f t="shared" si="2"/>
        <v>1.7605778020566243</v>
      </c>
      <c r="AE25">
        <f t="shared" si="2"/>
        <v>1.8486066921594555</v>
      </c>
      <c r="AF25">
        <f t="shared" si="2"/>
        <v>1.9410370267674282</v>
      </c>
      <c r="AG25">
        <f t="shared" si="2"/>
        <v>2.0380888781057998</v>
      </c>
      <c r="AH25">
        <f t="shared" si="2"/>
        <v>2.1399933220110898</v>
      </c>
      <c r="AI25">
        <f t="shared" si="2"/>
        <v>2.2469929881116442</v>
      </c>
      <c r="AJ25">
        <f t="shared" si="2"/>
        <v>2.3593426375172268</v>
      </c>
      <c r="AK25">
        <f t="shared" si="2"/>
        <v>2.4773097693930874</v>
      </c>
    </row>
    <row r="26" spans="1:37" x14ac:dyDescent="0.25">
      <c r="A26" t="s">
        <v>564</v>
      </c>
      <c r="B26">
        <f>B25*12400/1000</f>
        <v>7.3894352180000018</v>
      </c>
      <c r="C26">
        <f t="shared" ref="C26:AK26" si="3">C25*12400/1000</f>
        <v>7.6678847789000004</v>
      </c>
      <c r="D26">
        <f t="shared" si="3"/>
        <v>7.9602568178450008</v>
      </c>
      <c r="E26">
        <f t="shared" si="3"/>
        <v>8.2672474587372484</v>
      </c>
      <c r="F26">
        <f t="shared" si="3"/>
        <v>8.5895876316741138</v>
      </c>
      <c r="G26">
        <f t="shared" si="3"/>
        <v>8.9280448132578183</v>
      </c>
      <c r="H26">
        <f t="shared" si="3"/>
        <v>7.4629808539207101</v>
      </c>
      <c r="I26">
        <f t="shared" si="3"/>
        <v>7.836129896616745</v>
      </c>
      <c r="J26">
        <f t="shared" si="3"/>
        <v>8.2279363914475834</v>
      </c>
      <c r="K26">
        <f t="shared" si="3"/>
        <v>8.6393332110199612</v>
      </c>
      <c r="L26">
        <f t="shared" si="3"/>
        <v>9.0712998715709592</v>
      </c>
      <c r="M26">
        <f t="shared" si="3"/>
        <v>9.5248648651495085</v>
      </c>
      <c r="N26">
        <f t="shared" si="3"/>
        <v>10.001108108406987</v>
      </c>
      <c r="O26">
        <f t="shared" si="3"/>
        <v>10.501163513827334</v>
      </c>
      <c r="P26">
        <f t="shared" si="3"/>
        <v>11.026221689518701</v>
      </c>
      <c r="Q26">
        <f t="shared" si="3"/>
        <v>11.577532773994635</v>
      </c>
      <c r="R26">
        <f t="shared" si="3"/>
        <v>12.156409412694369</v>
      </c>
      <c r="S26">
        <f t="shared" si="3"/>
        <v>12.764229883329087</v>
      </c>
      <c r="T26">
        <f t="shared" si="3"/>
        <v>13.40244137749554</v>
      </c>
      <c r="U26">
        <f t="shared" si="3"/>
        <v>14.072563446370319</v>
      </c>
      <c r="V26">
        <f t="shared" si="3"/>
        <v>14.776191618688836</v>
      </c>
      <c r="W26">
        <f t="shared" si="3"/>
        <v>15.515001199623276</v>
      </c>
      <c r="X26">
        <f t="shared" si="3"/>
        <v>16.290751259604438</v>
      </c>
      <c r="Y26">
        <f t="shared" si="3"/>
        <v>17.105288822584662</v>
      </c>
      <c r="Z26">
        <f t="shared" si="3"/>
        <v>17.960553263713898</v>
      </c>
      <c r="AA26">
        <f t="shared" si="3"/>
        <v>18.858580926899588</v>
      </c>
      <c r="AB26">
        <f t="shared" si="3"/>
        <v>19.801509973244571</v>
      </c>
      <c r="AC26">
        <f t="shared" si="3"/>
        <v>20.791585471906792</v>
      </c>
      <c r="AD26">
        <f t="shared" si="3"/>
        <v>21.831164745502143</v>
      </c>
      <c r="AE26">
        <f t="shared" si="3"/>
        <v>22.922722982777248</v>
      </c>
      <c r="AF26">
        <f t="shared" si="3"/>
        <v>24.06885913191611</v>
      </c>
      <c r="AG26">
        <f t="shared" si="3"/>
        <v>25.272302088511918</v>
      </c>
      <c r="AH26">
        <f t="shared" si="3"/>
        <v>26.535917192937514</v>
      </c>
      <c r="AI26">
        <f t="shared" si="3"/>
        <v>27.862713052584386</v>
      </c>
      <c r="AJ26">
        <f t="shared" si="3"/>
        <v>29.255848705213612</v>
      </c>
      <c r="AK26">
        <f t="shared" si="3"/>
        <v>30.718641140474283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2</vt:i4>
      </vt:variant>
    </vt:vector>
  </HeadingPairs>
  <TitlesOfParts>
    <vt:vector size="38" baseType="lpstr">
      <vt:lpstr>About</vt:lpstr>
      <vt:lpstr>Cross-Page Data</vt:lpstr>
      <vt:lpstr>Non-Energy FF CO2 Emissions</vt:lpstr>
      <vt:lpstr>Cement CO2 Emissions</vt:lpstr>
      <vt:lpstr>Iron and Steel</vt:lpstr>
      <vt:lpstr>Coal Mining</vt:lpstr>
      <vt:lpstr>Petroleum Systems</vt:lpstr>
      <vt:lpstr>Natural Gas Systems</vt:lpstr>
      <vt:lpstr>Chem - HCFC 22 Production</vt:lpstr>
      <vt:lpstr>Chem - ODS</vt:lpstr>
      <vt:lpstr>Other - Aluminum</vt:lpstr>
      <vt:lpstr>Other - Magnesium</vt:lpstr>
      <vt:lpstr>Other - Semiconductor Mfg</vt:lpstr>
      <vt:lpstr>Other - Elec Trans and Dist</vt:lpstr>
      <vt:lpstr>Agriculture - EF &amp; Manure Mgmt</vt:lpstr>
      <vt:lpstr>Agriculture - Rice Cultivation</vt:lpstr>
      <vt:lpstr>Agriculture - Soil Mgmt</vt:lpstr>
      <vt:lpstr>Waste - Landfills</vt:lpstr>
      <vt:lpstr>Waste - Water Treatment</vt:lpstr>
      <vt:lpstr>Other Industrial Processes</vt:lpstr>
      <vt:lpstr>Combined Data</vt:lpstr>
      <vt:lpstr>BPEiC-CO2</vt:lpstr>
      <vt:lpstr>BPEiC-CH4</vt:lpstr>
      <vt:lpstr>BPEiC-N2O</vt:lpstr>
      <vt:lpstr>BPEiC-F-gases</vt:lpstr>
      <vt:lpstr>EPA (2017) Table A3.6-1</vt:lpstr>
      <vt:lpstr>EPA (2017) Table A3.6-7</vt:lpstr>
      <vt:lpstr>EPA (2017) Table A3.6-10</vt:lpstr>
      <vt:lpstr>AEO 2018_Table 6</vt:lpstr>
      <vt:lpstr>AEO 2018_Table 11</vt:lpstr>
      <vt:lpstr>AEO 2018_Table 13</vt:lpstr>
      <vt:lpstr>AEO 2018_Table 67</vt:lpstr>
      <vt:lpstr>AEO 2018_Table 19</vt:lpstr>
      <vt:lpstr>AEO 2018_Table 20</vt:lpstr>
      <vt:lpstr>AEO 2018_Table 24</vt:lpstr>
      <vt:lpstr>AEO 2018_Table 62</vt:lpstr>
      <vt:lpstr>CH4_to_CO2e</vt:lpstr>
      <vt:lpstr>N2O_to_CO2e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dcterms:created xsi:type="dcterms:W3CDTF">2017-04-14T18:15:39Z</dcterms:created>
  <dcterms:modified xsi:type="dcterms:W3CDTF">2019-01-15T18:32:28Z</dcterms:modified>
</cp:coreProperties>
</file>